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er\Desktop\Sarthak_s stuff\ISTC\"/>
    </mc:Choice>
  </mc:AlternateContent>
  <xr:revisionPtr revIDLastSave="0" documentId="10_ncr:100000_{A5864640-6B2A-440C-8038-FC6329925BCD}" xr6:coauthVersionLast="31" xr6:coauthVersionMax="31" xr10:uidLastSave="{00000000-0000-0000-0000-000000000000}"/>
  <bookViews>
    <workbookView xWindow="0" yWindow="0" windowWidth="21570" windowHeight="8055" tabRatio="797" xr2:uid="{00000000-000D-0000-FFFF-FFFF00000000}"/>
  </bookViews>
  <sheets>
    <sheet name="Optimization Dashboard" sheetId="16" r:id="rId1"/>
    <sheet name="Biogas to electricity - Input" sheetId="1" r:id="rId2"/>
    <sheet name="Food waste" sheetId="2" r:id="rId3"/>
    <sheet name="Alton report, Credit Sales" sheetId="3" r:id="rId4"/>
    <sheet name="Current - Aerobic (EnviroPure)" sheetId="4" r:id="rId5"/>
    <sheet name="Proposed - Pulper (Insinkerator" sheetId="5" r:id="rId6"/>
    <sheet name="Proposed - Pulper (Somat)" sheetId="6" r:id="rId7"/>
    <sheet name="Proposed - Tri-Cycle Pulper" sheetId="9" r:id="rId8"/>
    <sheet name="Proposed - Grind2Energy" sheetId="10" r:id="rId9"/>
    <sheet name="Proposed - Offsite Grinding" sheetId="12" r:id="rId10"/>
    <sheet name="Comparison Calculator (Busey Ev" sheetId="13" r:id="rId11"/>
    <sheet name="Comparing all options" sheetId="14" r:id="rId12"/>
    <sheet name="Comparing all options Chart" sheetId="15" r:id="rId13"/>
  </sheets>
  <definedNames>
    <definedName name="_xlnm.Print_Area" localSheetId="7">'Proposed - Tri-Cycle Pulper'!$A$127:$D$135,'Proposed - Tri-Cycle Pulper'!$A$17:$F$41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6" l="1"/>
  <c r="B16" i="16"/>
  <c r="O8" i="14" l="1"/>
  <c r="P8" i="14" s="1"/>
  <c r="P15" i="14"/>
  <c r="O15" i="14"/>
  <c r="C37" i="12" l="1"/>
  <c r="J10" i="16"/>
  <c r="I10" i="16"/>
  <c r="I9" i="16"/>
  <c r="I8" i="16"/>
  <c r="I7" i="16"/>
  <c r="B7" i="16" s="1"/>
  <c r="B19" i="16" s="1"/>
  <c r="I6" i="16"/>
  <c r="I5" i="16"/>
  <c r="C101" i="12"/>
  <c r="D101" i="12"/>
  <c r="B86" i="12"/>
  <c r="B80" i="12"/>
  <c r="E100" i="12"/>
  <c r="D100" i="12"/>
  <c r="C100" i="12"/>
  <c r="D36" i="12"/>
  <c r="E36" i="12"/>
  <c r="C36" i="12"/>
  <c r="B16" i="12"/>
  <c r="B8" i="12"/>
  <c r="N3" i="16"/>
  <c r="N7" i="16"/>
  <c r="N6" i="16" s="1"/>
  <c r="C31" i="16"/>
  <c r="D31" i="16"/>
  <c r="E31" i="16"/>
  <c r="H10" i="16"/>
  <c r="F5" i="16"/>
  <c r="J5" i="16" s="1"/>
  <c r="F6" i="16"/>
  <c r="J6" i="16" s="1"/>
  <c r="F7" i="16"/>
  <c r="J7" i="16" s="1"/>
  <c r="B8" i="16" s="1"/>
  <c r="F8" i="16"/>
  <c r="J8" i="16" s="1"/>
  <c r="F9" i="16"/>
  <c r="J9" i="16" s="1"/>
  <c r="B38" i="16"/>
  <c r="E38" i="16" s="1"/>
  <c r="B5" i="13"/>
  <c r="B39" i="16"/>
  <c r="D37" i="12" l="1"/>
  <c r="E37" i="12"/>
  <c r="N4" i="16"/>
  <c r="O4" i="16" s="1"/>
  <c r="O5" i="16" s="1"/>
  <c r="G4" i="16" s="1"/>
  <c r="H4" i="16" s="1"/>
  <c r="O6" i="16"/>
  <c r="C38" i="16"/>
  <c r="D38" i="16"/>
  <c r="L36" i="13"/>
  <c r="K36" i="13"/>
  <c r="J36" i="13"/>
  <c r="B70" i="13"/>
  <c r="B30" i="16"/>
  <c r="E30" i="16" s="1"/>
  <c r="B17" i="16"/>
  <c r="B6" i="16"/>
  <c r="C19" i="16"/>
  <c r="E39" i="16"/>
  <c r="E26" i="16"/>
  <c r="D26" i="16"/>
  <c r="C26" i="16"/>
  <c r="B26" i="16"/>
  <c r="C3" i="13"/>
  <c r="B95" i="13"/>
  <c r="B68" i="13"/>
  <c r="J24" i="13"/>
  <c r="K24" i="13"/>
  <c r="L24" i="13"/>
  <c r="I3" i="13"/>
  <c r="B3" i="13"/>
  <c r="M7" i="14"/>
  <c r="L7" i="14"/>
  <c r="K7" i="14"/>
  <c r="J7" i="14"/>
  <c r="I7" i="14"/>
  <c r="H7" i="14"/>
  <c r="G7" i="14"/>
  <c r="O7" i="14" s="1"/>
  <c r="M6" i="14"/>
  <c r="L6" i="14"/>
  <c r="K6" i="14"/>
  <c r="J6" i="14"/>
  <c r="I6" i="14"/>
  <c r="H6" i="14"/>
  <c r="G6" i="14"/>
  <c r="M5" i="14"/>
  <c r="L5" i="14"/>
  <c r="K5" i="14"/>
  <c r="J5" i="14"/>
  <c r="H5" i="14"/>
  <c r="I5" i="14"/>
  <c r="G5" i="14"/>
  <c r="N4" i="14"/>
  <c r="M4" i="14"/>
  <c r="L4" i="14"/>
  <c r="K4" i="14"/>
  <c r="I4" i="14"/>
  <c r="H4" i="14"/>
  <c r="G4" i="14"/>
  <c r="C4" i="14"/>
  <c r="B4" i="14"/>
  <c r="M3" i="14"/>
  <c r="L3" i="14"/>
  <c r="K3" i="14"/>
  <c r="G3" i="14"/>
  <c r="F3" i="14"/>
  <c r="E3" i="14"/>
  <c r="C3" i="14"/>
  <c r="B3" i="14"/>
  <c r="M2" i="14"/>
  <c r="L2" i="14"/>
  <c r="K2" i="14"/>
  <c r="G2" i="14"/>
  <c r="F2" i="14"/>
  <c r="E2" i="14"/>
  <c r="C2" i="14"/>
  <c r="B2" i="14"/>
  <c r="G6" i="16" l="1"/>
  <c r="H6" i="16" s="1"/>
  <c r="C37" i="16"/>
  <c r="E37" i="16"/>
  <c r="D37" i="16"/>
  <c r="B37" i="16" s="1"/>
  <c r="C34" i="16"/>
  <c r="E34" i="16"/>
  <c r="D34" i="16"/>
  <c r="B34" i="16" s="1"/>
  <c r="B36" i="16"/>
  <c r="C36" i="16" s="1"/>
  <c r="G5" i="16"/>
  <c r="H5" i="16" s="1"/>
  <c r="G7" i="16"/>
  <c r="G8" i="16"/>
  <c r="H8" i="16" s="1"/>
  <c r="G9" i="16"/>
  <c r="H9" i="16" s="1"/>
  <c r="E19" i="16"/>
  <c r="D19" i="16"/>
  <c r="D18" i="16"/>
  <c r="C18" i="16"/>
  <c r="C21" i="16" s="1"/>
  <c r="C23" i="16" s="1"/>
  <c r="C27" i="16" s="1"/>
  <c r="E18" i="16"/>
  <c r="B130" i="13"/>
  <c r="B131" i="13"/>
  <c r="C127" i="13"/>
  <c r="D109" i="13"/>
  <c r="B85" i="13"/>
  <c r="B87" i="13" s="1"/>
  <c r="B88" i="13" s="1"/>
  <c r="B132" i="13"/>
  <c r="B122" i="13"/>
  <c r="C109" i="13"/>
  <c r="C128" i="13"/>
  <c r="B120" i="13"/>
  <c r="E96" i="13"/>
  <c r="B128" i="13"/>
  <c r="B119" i="13"/>
  <c r="C5" i="13"/>
  <c r="I5" i="13"/>
  <c r="L23" i="13" s="1"/>
  <c r="C30" i="16"/>
  <c r="D30" i="16"/>
  <c r="C39" i="16"/>
  <c r="D39" i="16"/>
  <c r="C96" i="13"/>
  <c r="B111" i="13"/>
  <c r="B127" i="13"/>
  <c r="E128" i="13"/>
  <c r="D96" i="13"/>
  <c r="E109" i="13"/>
  <c r="B121" i="13"/>
  <c r="E127" i="13"/>
  <c r="O6" i="14"/>
  <c r="O5" i="14"/>
  <c r="O4" i="14"/>
  <c r="P4" i="14" s="1"/>
  <c r="O3" i="14"/>
  <c r="P3" i="14"/>
  <c r="O2" i="14"/>
  <c r="P2" i="14" s="1"/>
  <c r="B71" i="13"/>
  <c r="E106" i="13"/>
  <c r="D106" i="13"/>
  <c r="B106" i="13" s="1"/>
  <c r="C106" i="13"/>
  <c r="E102" i="13"/>
  <c r="D102" i="13"/>
  <c r="C102" i="13"/>
  <c r="B102" i="13"/>
  <c r="E94" i="13"/>
  <c r="D94" i="13"/>
  <c r="C94" i="13"/>
  <c r="H7" i="16" l="1"/>
  <c r="B4" i="16" s="1"/>
  <c r="B32" i="16" s="1"/>
  <c r="D32" i="16" s="1"/>
  <c r="B5" i="16"/>
  <c r="E21" i="16"/>
  <c r="E23" i="16" s="1"/>
  <c r="E27" i="16" s="1"/>
  <c r="D21" i="16"/>
  <c r="D23" i="16" s="1"/>
  <c r="B23" i="16" s="1"/>
  <c r="B27" i="16" s="1"/>
  <c r="E32" i="16"/>
  <c r="E36" i="16"/>
  <c r="D36" i="16"/>
  <c r="J23" i="13"/>
  <c r="K23" i="13"/>
  <c r="B133" i="13"/>
  <c r="B96" i="13"/>
  <c r="C97" i="13"/>
  <c r="B109" i="13"/>
  <c r="E97" i="13"/>
  <c r="B74" i="13"/>
  <c r="L29" i="13"/>
  <c r="K29" i="13"/>
  <c r="J29" i="13"/>
  <c r="I29" i="13"/>
  <c r="E39" i="13"/>
  <c r="D39" i="13"/>
  <c r="C39" i="13"/>
  <c r="B39" i="13"/>
  <c r="E33" i="13"/>
  <c r="D33" i="13"/>
  <c r="C33" i="13"/>
  <c r="E29" i="13"/>
  <c r="D29" i="13"/>
  <c r="C29" i="13"/>
  <c r="B29" i="13"/>
  <c r="E24" i="13"/>
  <c r="D24" i="13"/>
  <c r="C24" i="13"/>
  <c r="B24" i="13"/>
  <c r="D26" i="13" s="1"/>
  <c r="B26" i="13" s="1"/>
  <c r="C32" i="16" l="1"/>
  <c r="C33" i="16"/>
  <c r="C35" i="16"/>
  <c r="E33" i="16"/>
  <c r="B33" i="16"/>
  <c r="D35" i="16"/>
  <c r="B35" i="16" s="1"/>
  <c r="E35" i="16"/>
  <c r="D27" i="16"/>
  <c r="D97" i="13"/>
  <c r="I6" i="13"/>
  <c r="I56" i="13"/>
  <c r="I50" i="13"/>
  <c r="L37" i="13"/>
  <c r="I58" i="13"/>
  <c r="L55" i="13"/>
  <c r="I49" i="13"/>
  <c r="K37" i="13"/>
  <c r="I37" i="13" s="1"/>
  <c r="L56" i="13"/>
  <c r="J55" i="13"/>
  <c r="I48" i="13"/>
  <c r="J37" i="13"/>
  <c r="J56" i="13"/>
  <c r="I55" i="13"/>
  <c r="I47" i="13"/>
  <c r="I39" i="13"/>
  <c r="I10" i="13"/>
  <c r="I12" i="13" s="1"/>
  <c r="I13" i="13" s="1"/>
  <c r="I22" i="13" s="1"/>
  <c r="I24" i="13" s="1"/>
  <c r="B6" i="13"/>
  <c r="B9" i="13" s="1"/>
  <c r="B10" i="13"/>
  <c r="C6" i="13"/>
  <c r="C10" i="13"/>
  <c r="E111" i="13"/>
  <c r="D111" i="13"/>
  <c r="C111" i="13"/>
  <c r="E26" i="13"/>
  <c r="E30" i="13" s="1"/>
  <c r="B30" i="13"/>
  <c r="C26" i="13"/>
  <c r="C30" i="13" s="1"/>
  <c r="D30" i="13"/>
  <c r="E40" i="16" l="1"/>
  <c r="E41" i="16" s="1"/>
  <c r="C40" i="16"/>
  <c r="C41" i="16" s="1"/>
  <c r="D33" i="16"/>
  <c r="D40" i="16" s="1"/>
  <c r="D41" i="16" s="1"/>
  <c r="B40" i="16"/>
  <c r="B41" i="16" s="1"/>
  <c r="I9" i="13"/>
  <c r="I38" i="13"/>
  <c r="L38" i="13" s="1"/>
  <c r="C9" i="13"/>
  <c r="K38" i="13" l="1"/>
  <c r="J38" i="13"/>
  <c r="B18" i="4"/>
  <c r="J44" i="4" l="1"/>
  <c r="M47" i="4" s="1"/>
  <c r="J58" i="4"/>
  <c r="L58" i="4" s="1"/>
  <c r="M58" i="4" s="1"/>
  <c r="M55" i="4"/>
  <c r="J55" i="4"/>
  <c r="L55" i="4" s="1"/>
  <c r="M50" i="4"/>
  <c r="L50" i="4"/>
  <c r="K50" i="4"/>
  <c r="J50" i="4"/>
  <c r="L47" i="4"/>
  <c r="K47" i="4"/>
  <c r="M40" i="4"/>
  <c r="J40" i="4"/>
  <c r="M39" i="4"/>
  <c r="L39" i="4"/>
  <c r="L40" i="4" s="1"/>
  <c r="K39" i="4"/>
  <c r="K40" i="4" s="1"/>
  <c r="M42" i="4" l="1"/>
  <c r="L51" i="4"/>
  <c r="K51" i="4"/>
  <c r="M51" i="4"/>
  <c r="J47" i="4"/>
  <c r="J51" i="4" s="1"/>
  <c r="K42" i="4"/>
  <c r="L42" i="4"/>
  <c r="K58" i="4"/>
  <c r="K55" i="4"/>
  <c r="J32" i="4"/>
  <c r="L32" i="4" s="1"/>
  <c r="M32" i="4" s="1"/>
  <c r="J17" i="4"/>
  <c r="J20" i="4" s="1"/>
  <c r="J31" i="4"/>
  <c r="K31" i="4" s="1"/>
  <c r="J28" i="4"/>
  <c r="M28" i="4" s="1"/>
  <c r="M23" i="4"/>
  <c r="L23" i="4"/>
  <c r="K23" i="4"/>
  <c r="J23" i="4"/>
  <c r="J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L7" i="4"/>
  <c r="K7" i="4"/>
  <c r="L20" i="4" l="1"/>
  <c r="M20" i="4"/>
  <c r="M24" i="4" s="1"/>
  <c r="L31" i="4"/>
  <c r="M31" i="4" s="1"/>
  <c r="M13" i="4"/>
  <c r="M15" i="4" s="1"/>
  <c r="K13" i="4"/>
  <c r="K15" i="4" s="1"/>
  <c r="L13" i="4"/>
  <c r="L15" i="4" s="1"/>
  <c r="K28" i="4"/>
  <c r="K32" i="4"/>
  <c r="L28" i="4"/>
  <c r="J27" i="3" l="1"/>
  <c r="J21" i="3"/>
  <c r="J22" i="3"/>
  <c r="J23" i="3"/>
  <c r="R30" i="2" l="1"/>
  <c r="H30" i="2"/>
  <c r="O30" i="2" s="1"/>
  <c r="H31" i="2"/>
  <c r="R31" i="2" s="1"/>
  <c r="H32" i="2"/>
  <c r="L32" i="2" s="1"/>
  <c r="H33" i="2"/>
  <c r="O33" i="2" s="1"/>
  <c r="H34" i="2"/>
  <c r="I34" i="2" s="1"/>
  <c r="H35" i="2"/>
  <c r="L35" i="2" s="1"/>
  <c r="C31" i="2"/>
  <c r="D31" i="2" s="1"/>
  <c r="C35" i="2"/>
  <c r="C32" i="2"/>
  <c r="C30" i="2"/>
  <c r="C34" i="2"/>
  <c r="D34" i="2" s="1"/>
  <c r="C33" i="2"/>
  <c r="D33" i="2" s="1"/>
  <c r="R33" i="2" l="1"/>
  <c r="L34" i="2"/>
  <c r="L33" i="2"/>
  <c r="I35" i="2"/>
  <c r="K35" i="2" s="1"/>
  <c r="O31" i="2"/>
  <c r="R35" i="2"/>
  <c r="I33" i="2"/>
  <c r="K33" i="2" s="1"/>
  <c r="L31" i="2"/>
  <c r="R34" i="2"/>
  <c r="I32" i="2"/>
  <c r="K32" i="2" s="1"/>
  <c r="L30" i="2"/>
  <c r="I31" i="2"/>
  <c r="O35" i="2"/>
  <c r="R32" i="2"/>
  <c r="T32" i="2" s="1"/>
  <c r="I30" i="2"/>
  <c r="K30" i="2" s="1"/>
  <c r="O34" i="2"/>
  <c r="O32" i="2"/>
  <c r="D35" i="2"/>
  <c r="D32" i="2"/>
  <c r="D30" i="2"/>
  <c r="T30" i="2"/>
  <c r="T35" i="2"/>
  <c r="E101" i="12"/>
  <c r="B101" i="12"/>
  <c r="E93" i="12"/>
  <c r="D93" i="12"/>
  <c r="C93" i="12"/>
  <c r="B93" i="12"/>
  <c r="B39" i="12"/>
  <c r="E39" i="12" s="1"/>
  <c r="E29" i="12"/>
  <c r="D29" i="12"/>
  <c r="C29" i="12"/>
  <c r="B29" i="12"/>
  <c r="E22" i="12"/>
  <c r="D22" i="12"/>
  <c r="C22" i="12"/>
  <c r="E21" i="12"/>
  <c r="D21" i="12"/>
  <c r="C21" i="12"/>
  <c r="B3" i="12"/>
  <c r="B37" i="6"/>
  <c r="E37" i="6" s="1"/>
  <c r="E35" i="6"/>
  <c r="D35" i="6"/>
  <c r="C35" i="6"/>
  <c r="E97" i="6"/>
  <c r="D97" i="6"/>
  <c r="C97" i="6"/>
  <c r="E98" i="5"/>
  <c r="C98" i="5"/>
  <c r="D98" i="5"/>
  <c r="E35" i="5"/>
  <c r="C35" i="5"/>
  <c r="D35" i="5"/>
  <c r="B37" i="5"/>
  <c r="E37" i="5" s="1"/>
  <c r="E94" i="9"/>
  <c r="D94" i="9"/>
  <c r="C94" i="9"/>
  <c r="B94" i="9"/>
  <c r="M32" i="9"/>
  <c r="L32" i="9"/>
  <c r="J32" i="9" s="1"/>
  <c r="K32" i="9"/>
  <c r="E32" i="9"/>
  <c r="D32" i="9"/>
  <c r="B32" i="9" s="1"/>
  <c r="C32" i="9"/>
  <c r="B37" i="9"/>
  <c r="D37" i="9" s="1"/>
  <c r="E97" i="9"/>
  <c r="D97" i="9"/>
  <c r="C97" i="9"/>
  <c r="C35" i="9"/>
  <c r="E35" i="9"/>
  <c r="D35" i="9"/>
  <c r="B11" i="12" l="1"/>
  <c r="B12" i="12"/>
  <c r="B37" i="12"/>
  <c r="B36" i="12"/>
  <c r="C37" i="9"/>
  <c r="E37" i="9"/>
  <c r="K26" i="13"/>
  <c r="D24" i="12"/>
  <c r="E24" i="12"/>
  <c r="B6" i="12"/>
  <c r="C39" i="12"/>
  <c r="D37" i="6"/>
  <c r="C24" i="12"/>
  <c r="T34" i="2"/>
  <c r="T38" i="2" s="1"/>
  <c r="K34" i="2"/>
  <c r="K38" i="2" s="1"/>
  <c r="B84" i="5" s="1"/>
  <c r="T33" i="2"/>
  <c r="T31" i="2"/>
  <c r="K31" i="2"/>
  <c r="K36" i="2" s="1"/>
  <c r="K37" i="2" s="1"/>
  <c r="B21" i="5" s="1"/>
  <c r="D39" i="12"/>
  <c r="C37" i="6"/>
  <c r="C37" i="5"/>
  <c r="D37" i="5"/>
  <c r="B14" i="12" l="1"/>
  <c r="B13" i="12"/>
  <c r="B41" i="12" s="1"/>
  <c r="L26" i="13"/>
  <c r="L30" i="13" s="1"/>
  <c r="J26" i="13"/>
  <c r="J30" i="13" s="1"/>
  <c r="K30" i="13"/>
  <c r="I26" i="13"/>
  <c r="I30" i="13" s="1"/>
  <c r="T36" i="2"/>
  <c r="T37" i="2" s="1"/>
  <c r="B22" i="12" s="1"/>
  <c r="B38" i="12"/>
  <c r="B42" i="12" s="1"/>
  <c r="B15" i="12" l="1"/>
  <c r="D38" i="12"/>
  <c r="E38" i="12"/>
  <c r="E42" i="12" s="1"/>
  <c r="C38" i="12"/>
  <c r="C42" i="12" s="1"/>
  <c r="E41" i="12"/>
  <c r="D41" i="12"/>
  <c r="C41" i="12"/>
  <c r="E93" i="10"/>
  <c r="D93" i="10"/>
  <c r="C93" i="10"/>
  <c r="B93" i="10"/>
  <c r="K35" i="10"/>
  <c r="L35" i="10"/>
  <c r="M35" i="10"/>
  <c r="J35" i="10"/>
  <c r="C35" i="10"/>
  <c r="D35" i="10"/>
  <c r="E35" i="10"/>
  <c r="B35" i="10"/>
  <c r="K3" i="10"/>
  <c r="K6" i="10" s="1"/>
  <c r="C3" i="10"/>
  <c r="D42" i="12" l="1"/>
  <c r="C6" i="10"/>
  <c r="B97" i="9"/>
  <c r="B97" i="6"/>
  <c r="B35" i="9"/>
  <c r="B35" i="6"/>
  <c r="B98" i="5"/>
  <c r="B35" i="5" l="1"/>
  <c r="E91" i="5" l="1"/>
  <c r="D91" i="5"/>
  <c r="C91" i="5"/>
  <c r="B91" i="5"/>
  <c r="E28" i="5"/>
  <c r="D28" i="5"/>
  <c r="C28" i="5"/>
  <c r="B28" i="5"/>
  <c r="E50" i="4" l="1"/>
  <c r="D50" i="4"/>
  <c r="C50" i="4"/>
  <c r="B50" i="4"/>
  <c r="E23" i="4"/>
  <c r="D23" i="4"/>
  <c r="C23" i="4"/>
  <c r="B23" i="4"/>
  <c r="E90" i="6"/>
  <c r="D90" i="6"/>
  <c r="C90" i="6"/>
  <c r="B90" i="6"/>
  <c r="E28" i="6"/>
  <c r="D28" i="6"/>
  <c r="C28" i="6"/>
  <c r="B28" i="6"/>
  <c r="E90" i="9"/>
  <c r="D90" i="9"/>
  <c r="C90" i="9"/>
  <c r="B90" i="9"/>
  <c r="M28" i="9"/>
  <c r="L28" i="9"/>
  <c r="K28" i="9"/>
  <c r="J28" i="9"/>
  <c r="E28" i="9"/>
  <c r="D28" i="9"/>
  <c r="C28" i="9"/>
  <c r="B28" i="9"/>
  <c r="M20" i="9"/>
  <c r="L20" i="9"/>
  <c r="K20" i="9"/>
  <c r="E83" i="10" l="1"/>
  <c r="D83" i="10"/>
  <c r="C83" i="10"/>
  <c r="B83" i="10"/>
  <c r="M25" i="10"/>
  <c r="L25" i="10"/>
  <c r="K25" i="10"/>
  <c r="J25" i="10"/>
  <c r="C25" i="10"/>
  <c r="D25" i="10"/>
  <c r="E25" i="10"/>
  <c r="B25" i="10"/>
  <c r="M29" i="10" l="1"/>
  <c r="L29" i="10"/>
  <c r="K29" i="10"/>
  <c r="M20" i="10"/>
  <c r="L20" i="10"/>
  <c r="K20" i="10"/>
  <c r="J20" i="10"/>
  <c r="J3" i="10"/>
  <c r="B29" i="10"/>
  <c r="M22" i="10" l="1"/>
  <c r="M26" i="10" s="1"/>
  <c r="K22" i="10"/>
  <c r="K26" i="10" s="1"/>
  <c r="L22" i="10"/>
  <c r="J6" i="10"/>
  <c r="B3" i="10"/>
  <c r="B6" i="10" s="1"/>
  <c r="L26" i="10" l="1"/>
  <c r="J22" i="10"/>
  <c r="J26" i="10" s="1"/>
  <c r="B18" i="10"/>
  <c r="E87" i="10"/>
  <c r="D87" i="10"/>
  <c r="C87" i="10"/>
  <c r="B78" i="10"/>
  <c r="E78" i="10"/>
  <c r="D78" i="10"/>
  <c r="C78" i="10"/>
  <c r="E30" i="10"/>
  <c r="E29" i="10"/>
  <c r="E19" i="10"/>
  <c r="E20" i="10" s="1"/>
  <c r="D19" i="10"/>
  <c r="C19" i="10"/>
  <c r="C20" i="10" s="1"/>
  <c r="E80" i="10" l="1"/>
  <c r="E84" i="10" s="1"/>
  <c r="C80" i="10"/>
  <c r="C84" i="10" s="1"/>
  <c r="D80" i="10"/>
  <c r="D20" i="10"/>
  <c r="C29" i="10"/>
  <c r="C30" i="10"/>
  <c r="B20" i="10"/>
  <c r="D29" i="10"/>
  <c r="D30" i="10"/>
  <c r="C21" i="9"/>
  <c r="D21" i="9"/>
  <c r="E21" i="9"/>
  <c r="D84" i="10" l="1"/>
  <c r="B80" i="10"/>
  <c r="B84" i="10" s="1"/>
  <c r="E22" i="10"/>
  <c r="E26" i="10" s="1"/>
  <c r="D22" i="10"/>
  <c r="C22" i="10"/>
  <c r="C26" i="10" s="1"/>
  <c r="E41" i="3"/>
  <c r="D26" i="10" l="1"/>
  <c r="B22" i="10"/>
  <c r="B26" i="10" s="1"/>
  <c r="B72" i="6"/>
  <c r="B2" i="6"/>
  <c r="B3" i="6" s="1"/>
  <c r="J4" i="2" s="1"/>
  <c r="B36" i="6"/>
  <c r="B34" i="6"/>
  <c r="B33" i="6"/>
  <c r="B2" i="5"/>
  <c r="B3" i="5" s="1"/>
  <c r="B6" i="5" s="1"/>
  <c r="B20" i="9"/>
  <c r="E20" i="9" s="1"/>
  <c r="E23" i="9" s="1"/>
  <c r="E82" i="9"/>
  <c r="D82" i="9"/>
  <c r="C82" i="9"/>
  <c r="B3" i="9"/>
  <c r="M4" i="2" l="1"/>
  <c r="B6" i="9"/>
  <c r="B6" i="6"/>
  <c r="D20" i="9"/>
  <c r="D23" i="9" s="1"/>
  <c r="C20" i="9"/>
  <c r="C23" i="9" s="1"/>
  <c r="B44" i="4"/>
  <c r="B17" i="4" l="1"/>
  <c r="B59" i="4"/>
  <c r="B32" i="4"/>
  <c r="B34" i="10" s="1"/>
  <c r="B112" i="13" l="1"/>
  <c r="J59" i="4"/>
  <c r="B38" i="13"/>
  <c r="E20" i="4"/>
  <c r="E24" i="4" s="1"/>
  <c r="D20" i="4"/>
  <c r="B20" i="4" s="1"/>
  <c r="C20" i="4"/>
  <c r="E34" i="10"/>
  <c r="D34" i="10"/>
  <c r="C34" i="10"/>
  <c r="J38" i="9"/>
  <c r="J34" i="10"/>
  <c r="B92" i="10"/>
  <c r="B38" i="5"/>
  <c r="B38" i="9"/>
  <c r="B100" i="6"/>
  <c r="B100" i="9"/>
  <c r="C24" i="4"/>
  <c r="D32" i="4"/>
  <c r="E32" i="4" s="1"/>
  <c r="E38" i="5" s="1"/>
  <c r="C32" i="4"/>
  <c r="C38" i="5" s="1"/>
  <c r="B101" i="5"/>
  <c r="B38" i="6"/>
  <c r="E94" i="6"/>
  <c r="D94" i="6"/>
  <c r="C94" i="6"/>
  <c r="E82" i="6"/>
  <c r="D82" i="6"/>
  <c r="C82" i="6"/>
  <c r="E36" i="6"/>
  <c r="E34" i="6"/>
  <c r="E33" i="6"/>
  <c r="B32" i="6"/>
  <c r="E32" i="6" s="1"/>
  <c r="B20" i="6"/>
  <c r="D20" i="6" s="1"/>
  <c r="D23" i="6" s="1"/>
  <c r="E95" i="5"/>
  <c r="D95" i="5"/>
  <c r="C95" i="5"/>
  <c r="E83" i="5"/>
  <c r="D83" i="5"/>
  <c r="C83" i="5"/>
  <c r="B32" i="5"/>
  <c r="B20" i="5"/>
  <c r="D20" i="5" s="1"/>
  <c r="D23" i="5" s="1"/>
  <c r="B55" i="4"/>
  <c r="E55" i="4" s="1"/>
  <c r="D59" i="4"/>
  <c r="B58" i="4"/>
  <c r="D58" i="4" s="1"/>
  <c r="E58" i="4" s="1"/>
  <c r="B40" i="4"/>
  <c r="E39" i="4"/>
  <c r="E40" i="4" s="1"/>
  <c r="D39" i="4"/>
  <c r="D40" i="4" s="1"/>
  <c r="C39" i="4"/>
  <c r="C40" i="4" s="1"/>
  <c r="B31" i="4"/>
  <c r="D31" i="4" s="1"/>
  <c r="E31" i="4" s="1"/>
  <c r="B28" i="4"/>
  <c r="C28" i="4" s="1"/>
  <c r="B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37" i="3"/>
  <c r="C17" i="3"/>
  <c r="C18" i="3" s="1"/>
  <c r="C19" i="3" s="1"/>
  <c r="F14" i="3"/>
  <c r="F12" i="3"/>
  <c r="C10" i="3"/>
  <c r="C11" i="3" s="1"/>
  <c r="B17" i="2"/>
  <c r="B16" i="2"/>
  <c r="B15" i="2"/>
  <c r="B14" i="2"/>
  <c r="B13" i="2"/>
  <c r="B12" i="2"/>
  <c r="B18" i="2" s="1"/>
  <c r="D11" i="2"/>
  <c r="E11" i="2" s="1"/>
  <c r="B5" i="2"/>
  <c r="B7" i="2" s="1"/>
  <c r="F31" i="1"/>
  <c r="B28" i="1"/>
  <c r="E25" i="1"/>
  <c r="B24" i="1"/>
  <c r="B25" i="1" s="1"/>
  <c r="C23" i="1"/>
  <c r="C24" i="1" s="1"/>
  <c r="C25" i="1" s="1"/>
  <c r="B18" i="1"/>
  <c r="C18" i="1" s="1"/>
  <c r="C19" i="1" s="1"/>
  <c r="B16" i="1"/>
  <c r="B13" i="1"/>
  <c r="B12" i="1"/>
  <c r="D7" i="1"/>
  <c r="B7" i="1"/>
  <c r="J6" i="1"/>
  <c r="H6" i="1"/>
  <c r="G6" i="1"/>
  <c r="B6" i="1"/>
  <c r="I5" i="1"/>
  <c r="I4" i="1"/>
  <c r="O3" i="1"/>
  <c r="I3" i="1"/>
  <c r="C45" i="4" l="1"/>
  <c r="E45" i="4"/>
  <c r="D45" i="4"/>
  <c r="B45" i="4" s="1"/>
  <c r="E42" i="3"/>
  <c r="E39" i="3"/>
  <c r="E43" i="3" s="1"/>
  <c r="L59" i="4"/>
  <c r="M59" i="4" s="1"/>
  <c r="K59" i="4"/>
  <c r="E38" i="13"/>
  <c r="C38" i="13"/>
  <c r="D38" i="13"/>
  <c r="E112" i="13"/>
  <c r="D112" i="13"/>
  <c r="C112" i="13"/>
  <c r="L23" i="3"/>
  <c r="L21" i="3"/>
  <c r="F16" i="3"/>
  <c r="C12" i="3"/>
  <c r="L22" i="3" s="1"/>
  <c r="C13" i="2"/>
  <c r="B22" i="2" s="1"/>
  <c r="C22" i="2" s="1"/>
  <c r="H22" i="2" s="1"/>
  <c r="R22" i="2" s="1"/>
  <c r="T22" i="2" s="1"/>
  <c r="B24" i="4"/>
  <c r="D24" i="4"/>
  <c r="M34" i="10"/>
  <c r="K34" i="10"/>
  <c r="L34" i="10"/>
  <c r="M38" i="9"/>
  <c r="K38" i="9"/>
  <c r="L38" i="9"/>
  <c r="E92" i="10"/>
  <c r="D92" i="10"/>
  <c r="C92" i="10"/>
  <c r="C15" i="2"/>
  <c r="B24" i="2" s="1"/>
  <c r="C17" i="2"/>
  <c r="D17" i="2" s="1"/>
  <c r="E17" i="2" s="1"/>
  <c r="F17" i="2" s="1"/>
  <c r="H17" i="2" s="1"/>
  <c r="I6" i="1"/>
  <c r="C12" i="2"/>
  <c r="B21" i="2" s="1"/>
  <c r="C21" i="2" s="1"/>
  <c r="H21" i="2" s="1"/>
  <c r="R21" i="2" s="1"/>
  <c r="T21" i="2" s="1"/>
  <c r="C14" i="2"/>
  <c r="B23" i="2" s="1"/>
  <c r="C16" i="2"/>
  <c r="B25" i="2" s="1"/>
  <c r="E100" i="9"/>
  <c r="C100" i="9"/>
  <c r="D100" i="9"/>
  <c r="E38" i="9"/>
  <c r="C38" i="9"/>
  <c r="D38" i="9"/>
  <c r="E100" i="6"/>
  <c r="D100" i="6"/>
  <c r="C100" i="6"/>
  <c r="E38" i="6"/>
  <c r="C20" i="6"/>
  <c r="C23" i="6" s="1"/>
  <c r="E32" i="5"/>
  <c r="E20" i="5"/>
  <c r="E23" i="5" s="1"/>
  <c r="C20" i="5"/>
  <c r="C23" i="5" s="1"/>
  <c r="D38" i="6"/>
  <c r="D13" i="4"/>
  <c r="D15" i="4" s="1"/>
  <c r="C31" i="4"/>
  <c r="D28" i="4"/>
  <c r="D38" i="5"/>
  <c r="C38" i="6"/>
  <c r="E13" i="4"/>
  <c r="E15" i="4" s="1"/>
  <c r="E42" i="4"/>
  <c r="E28" i="4"/>
  <c r="C13" i="4"/>
  <c r="C15" i="4" s="1"/>
  <c r="E59" i="4"/>
  <c r="D101" i="5"/>
  <c r="E20" i="6"/>
  <c r="E23" i="6" s="1"/>
  <c r="C33" i="6"/>
  <c r="B95" i="6"/>
  <c r="D33" i="6"/>
  <c r="B96" i="6"/>
  <c r="B98" i="6"/>
  <c r="C32" i="6"/>
  <c r="C34" i="6"/>
  <c r="C36" i="6"/>
  <c r="D32" i="6"/>
  <c r="D34" i="6"/>
  <c r="D36" i="6"/>
  <c r="C32" i="5"/>
  <c r="D32" i="5"/>
  <c r="C55" i="4"/>
  <c r="C59" i="4"/>
  <c r="D55" i="4"/>
  <c r="C42" i="4"/>
  <c r="D42" i="4"/>
  <c r="C58" i="4"/>
  <c r="D21" i="2"/>
  <c r="E21" i="2" s="1"/>
  <c r="D22" i="2"/>
  <c r="E22" i="2" s="1"/>
  <c r="B26" i="2"/>
  <c r="C26" i="2" s="1"/>
  <c r="H26" i="2" s="1"/>
  <c r="R26" i="2" s="1"/>
  <c r="T26" i="2" s="1"/>
  <c r="D15" i="2"/>
  <c r="E15" i="2" s="1"/>
  <c r="F15" i="2" s="1"/>
  <c r="H15" i="2" s="1"/>
  <c r="D25" i="1"/>
  <c r="F25" i="1" s="1"/>
  <c r="C29" i="1"/>
  <c r="C30" i="1" s="1"/>
  <c r="C31" i="1" s="1"/>
  <c r="C32" i="1" s="1"/>
  <c r="C33" i="1" s="1"/>
  <c r="B29" i="1"/>
  <c r="B30" i="1" s="1"/>
  <c r="E38" i="1" s="1"/>
  <c r="E40" i="1" s="1"/>
  <c r="B66" i="12" l="1"/>
  <c r="B67" i="12" s="1"/>
  <c r="C60" i="10"/>
  <c r="C61" i="10" s="1"/>
  <c r="C64" i="10" s="1"/>
  <c r="B60" i="10"/>
  <c r="B61" i="10" s="1"/>
  <c r="G25" i="1"/>
  <c r="C23" i="3"/>
  <c r="C24" i="3" s="1"/>
  <c r="E41" i="1"/>
  <c r="E42" i="1" s="1"/>
  <c r="E44" i="1" s="1"/>
  <c r="C20" i="3"/>
  <c r="N23" i="3"/>
  <c r="N21" i="3"/>
  <c r="N22" i="3"/>
  <c r="D16" i="2"/>
  <c r="E16" i="2" s="1"/>
  <c r="F16" i="2" s="1"/>
  <c r="H16" i="2" s="1"/>
  <c r="D12" i="2"/>
  <c r="E12" i="2" s="1"/>
  <c r="F12" i="2" s="1"/>
  <c r="H12" i="2" s="1"/>
  <c r="K7" i="10"/>
  <c r="K8" i="10" s="1"/>
  <c r="K10" i="10" s="1"/>
  <c r="K11" i="10" s="1"/>
  <c r="J7" i="9"/>
  <c r="D13" i="2"/>
  <c r="E13" i="2" s="1"/>
  <c r="F13" i="2" s="1"/>
  <c r="H13" i="2" s="1"/>
  <c r="D14" i="2"/>
  <c r="E14" i="2" s="1"/>
  <c r="F14" i="2" s="1"/>
  <c r="H14" i="2" s="1"/>
  <c r="J7" i="10"/>
  <c r="C23" i="2"/>
  <c r="C24" i="2"/>
  <c r="J2" i="9"/>
  <c r="J3" i="9" s="1"/>
  <c r="I21" i="2"/>
  <c r="K21" i="2" s="1"/>
  <c r="C25" i="2"/>
  <c r="H25" i="2" s="1"/>
  <c r="R25" i="2" s="1"/>
  <c r="T25" i="2" s="1"/>
  <c r="B88" i="12" s="1"/>
  <c r="B64" i="6"/>
  <c r="B65" i="6" s="1"/>
  <c r="B64" i="5"/>
  <c r="B65" i="5" s="1"/>
  <c r="B64" i="9"/>
  <c r="B65" i="9" s="1"/>
  <c r="I22" i="2"/>
  <c r="K22" i="2" s="1"/>
  <c r="E101" i="5"/>
  <c r="C101" i="5"/>
  <c r="E96" i="6"/>
  <c r="D96" i="6"/>
  <c r="C96" i="6"/>
  <c r="D95" i="6"/>
  <c r="E95" i="6"/>
  <c r="C95" i="6"/>
  <c r="E98" i="6"/>
  <c r="D98" i="6"/>
  <c r="C98" i="6"/>
  <c r="D26" i="2"/>
  <c r="E26" i="2" s="1"/>
  <c r="B31" i="1"/>
  <c r="B32" i="1" s="1"/>
  <c r="B33" i="1" s="1"/>
  <c r="D30" i="1"/>
  <c r="C35" i="1"/>
  <c r="C34" i="1"/>
  <c r="B65" i="10" l="1"/>
  <c r="B75" i="13"/>
  <c r="C11" i="13"/>
  <c r="B69" i="6"/>
  <c r="B70" i="6" s="1"/>
  <c r="C65" i="10"/>
  <c r="C66" i="10" s="1"/>
  <c r="B69" i="5"/>
  <c r="B70" i="5" s="1"/>
  <c r="B27" i="4"/>
  <c r="E27" i="4" s="1"/>
  <c r="J27" i="4"/>
  <c r="L39" i="13"/>
  <c r="K39" i="13"/>
  <c r="J39" i="13"/>
  <c r="B75" i="12"/>
  <c r="B77" i="12" s="1"/>
  <c r="B105" i="12" s="1"/>
  <c r="D105" i="12" s="1"/>
  <c r="B102" i="12"/>
  <c r="E102" i="12" s="1"/>
  <c r="B70" i="12"/>
  <c r="B100" i="12"/>
  <c r="B103" i="12"/>
  <c r="E103" i="12" s="1"/>
  <c r="D87" i="12"/>
  <c r="D88" i="12" s="1"/>
  <c r="C87" i="12"/>
  <c r="C88" i="12" s="1"/>
  <c r="C90" i="12" s="1"/>
  <c r="C94" i="12" s="1"/>
  <c r="E87" i="12"/>
  <c r="E88" i="12" s="1"/>
  <c r="E90" i="12" s="1"/>
  <c r="E94" i="12" s="1"/>
  <c r="C68" i="10"/>
  <c r="C69" i="10" s="1"/>
  <c r="C91" i="10" s="1"/>
  <c r="H18" i="2"/>
  <c r="B69" i="9"/>
  <c r="B70" i="9" s="1"/>
  <c r="C27" i="4"/>
  <c r="C4" i="3"/>
  <c r="B4" i="3" s="1"/>
  <c r="C5" i="3" s="1"/>
  <c r="C25" i="3"/>
  <c r="C27" i="3" s="1"/>
  <c r="C34" i="3"/>
  <c r="E46" i="1"/>
  <c r="O23" i="3"/>
  <c r="K23" i="3"/>
  <c r="O22" i="3"/>
  <c r="K22" i="3"/>
  <c r="K27" i="3" s="1"/>
  <c r="O21" i="3"/>
  <c r="K21" i="3"/>
  <c r="B89" i="10"/>
  <c r="D89" i="10" s="1"/>
  <c r="B66" i="10"/>
  <c r="B68" i="10" s="1"/>
  <c r="E89" i="10"/>
  <c r="C89" i="10"/>
  <c r="D90" i="12"/>
  <c r="D91" i="10"/>
  <c r="B91" i="10" s="1"/>
  <c r="B90" i="10"/>
  <c r="D90" i="10" s="1"/>
  <c r="E91" i="10"/>
  <c r="D103" i="12"/>
  <c r="K33" i="10"/>
  <c r="J32" i="10"/>
  <c r="L32" i="10" s="1"/>
  <c r="M33" i="10"/>
  <c r="L33" i="10"/>
  <c r="J33" i="10" s="1"/>
  <c r="K32" i="10"/>
  <c r="M32" i="10"/>
  <c r="B99" i="9"/>
  <c r="D84" i="9"/>
  <c r="D85" i="9" s="1"/>
  <c r="C84" i="9"/>
  <c r="C85" i="9" s="1"/>
  <c r="E84" i="9"/>
  <c r="E85" i="9" s="1"/>
  <c r="D84" i="6"/>
  <c r="D85" i="6" s="1"/>
  <c r="B99" i="6"/>
  <c r="E84" i="6"/>
  <c r="E85" i="6" s="1"/>
  <c r="C84" i="6"/>
  <c r="C85" i="6" s="1"/>
  <c r="E85" i="5"/>
  <c r="E86" i="5" s="1"/>
  <c r="C85" i="5"/>
  <c r="C86" i="5" s="1"/>
  <c r="B100" i="5"/>
  <c r="D85" i="5"/>
  <c r="D86" i="5" s="1"/>
  <c r="J37" i="9"/>
  <c r="K22" i="9"/>
  <c r="K23" i="9" s="1"/>
  <c r="L22" i="9"/>
  <c r="L23" i="9" s="1"/>
  <c r="M22" i="9"/>
  <c r="M23" i="9" s="1"/>
  <c r="K35" i="9"/>
  <c r="L35" i="9"/>
  <c r="J35" i="9" s="1"/>
  <c r="M35" i="9"/>
  <c r="J6" i="9"/>
  <c r="H24" i="2"/>
  <c r="D24" i="2"/>
  <c r="E24" i="2" s="1"/>
  <c r="J8" i="10"/>
  <c r="M31" i="10"/>
  <c r="K31" i="10"/>
  <c r="J31" i="10"/>
  <c r="B64" i="10"/>
  <c r="J8" i="9"/>
  <c r="J11" i="9" s="1"/>
  <c r="J13" i="9" s="1"/>
  <c r="J39" i="9" s="1"/>
  <c r="J34" i="9"/>
  <c r="J33" i="9"/>
  <c r="H23" i="2"/>
  <c r="D23" i="2"/>
  <c r="E23" i="2" s="1"/>
  <c r="B73" i="9"/>
  <c r="B75" i="9" s="1"/>
  <c r="B101" i="9" s="1"/>
  <c r="B73" i="5"/>
  <c r="B75" i="5" s="1"/>
  <c r="B68" i="9"/>
  <c r="I26" i="2"/>
  <c r="K26" i="2" s="1"/>
  <c r="D25" i="2"/>
  <c r="E25" i="2" s="1"/>
  <c r="B68" i="6"/>
  <c r="B68" i="5"/>
  <c r="B73" i="6"/>
  <c r="B75" i="6" s="1"/>
  <c r="B101" i="6" s="1"/>
  <c r="B35" i="1"/>
  <c r="B34" i="1"/>
  <c r="D35" i="1"/>
  <c r="D31" i="1"/>
  <c r="C103" i="12" l="1"/>
  <c r="C105" i="12"/>
  <c r="B76" i="12"/>
  <c r="B78" i="12" s="1"/>
  <c r="B79" i="12" s="1"/>
  <c r="E105" i="12"/>
  <c r="C13" i="13"/>
  <c r="C14" i="13" s="1"/>
  <c r="C37" i="13" s="1"/>
  <c r="C31" i="10"/>
  <c r="B30" i="4"/>
  <c r="J30" i="4"/>
  <c r="J57" i="4" s="1"/>
  <c r="B29" i="4"/>
  <c r="J29" i="4"/>
  <c r="J56" i="4" s="1"/>
  <c r="C35" i="13"/>
  <c r="E35" i="13"/>
  <c r="B11" i="13"/>
  <c r="B35" i="13"/>
  <c r="D27" i="4"/>
  <c r="E90" i="10"/>
  <c r="E94" i="10" s="1"/>
  <c r="C53" i="13"/>
  <c r="E53" i="13"/>
  <c r="M53" i="9"/>
  <c r="K49" i="10"/>
  <c r="E107" i="10"/>
  <c r="C115" i="6"/>
  <c r="E53" i="6"/>
  <c r="C116" i="5"/>
  <c r="E55" i="12"/>
  <c r="C53" i="9"/>
  <c r="E115" i="9"/>
  <c r="E115" i="6"/>
  <c r="C49" i="10"/>
  <c r="E119" i="12"/>
  <c r="C107" i="10"/>
  <c r="C115" i="9"/>
  <c r="E49" i="10"/>
  <c r="E53" i="9"/>
  <c r="C53" i="5"/>
  <c r="C119" i="12"/>
  <c r="C53" i="6"/>
  <c r="C55" i="12"/>
  <c r="B54" i="4"/>
  <c r="B76" i="13"/>
  <c r="B107" i="13"/>
  <c r="B108" i="13"/>
  <c r="B45" i="13"/>
  <c r="C90" i="10"/>
  <c r="B69" i="10"/>
  <c r="C28" i="3"/>
  <c r="B116" i="5" s="1"/>
  <c r="D116" i="5" s="1"/>
  <c r="E54" i="13"/>
  <c r="C54" i="13"/>
  <c r="B106" i="12"/>
  <c r="M27" i="4"/>
  <c r="K27" i="4"/>
  <c r="J54" i="4"/>
  <c r="L27" i="4"/>
  <c r="L42" i="13"/>
  <c r="L43" i="13" s="1"/>
  <c r="D102" i="12"/>
  <c r="D106" i="12" s="1"/>
  <c r="C102" i="12"/>
  <c r="J42" i="13" s="1"/>
  <c r="J43" i="13" s="1"/>
  <c r="B7" i="6"/>
  <c r="B8" i="6" s="1"/>
  <c r="B7" i="5"/>
  <c r="B34" i="5" s="1"/>
  <c r="B7" i="9"/>
  <c r="K53" i="9" s="1"/>
  <c r="C7" i="10"/>
  <c r="C8" i="10" s="1"/>
  <c r="E31" i="10"/>
  <c r="B7" i="10"/>
  <c r="B31" i="10" s="1"/>
  <c r="M49" i="10"/>
  <c r="J49" i="10"/>
  <c r="L49" i="10" s="1"/>
  <c r="E53" i="5"/>
  <c r="E116" i="5"/>
  <c r="C36" i="3"/>
  <c r="C39" i="3" s="1"/>
  <c r="J28" i="3"/>
  <c r="K28" i="3" s="1"/>
  <c r="C42" i="3"/>
  <c r="C56" i="12"/>
  <c r="C108" i="10"/>
  <c r="E54" i="6"/>
  <c r="E116" i="9"/>
  <c r="K54" i="9"/>
  <c r="C54" i="5"/>
  <c r="C55" i="5" s="1"/>
  <c r="C59" i="5" s="1"/>
  <c r="E56" i="12"/>
  <c r="M50" i="10"/>
  <c r="E50" i="10"/>
  <c r="C54" i="6"/>
  <c r="C55" i="6" s="1"/>
  <c r="C59" i="6" s="1"/>
  <c r="E116" i="6"/>
  <c r="E54" i="9"/>
  <c r="E54" i="5"/>
  <c r="E55" i="5" s="1"/>
  <c r="E59" i="5" s="1"/>
  <c r="M54" i="9"/>
  <c r="C116" i="9"/>
  <c r="K50" i="10"/>
  <c r="E5" i="3"/>
  <c r="E117" i="5"/>
  <c r="E108" i="10"/>
  <c r="C54" i="9"/>
  <c r="C50" i="10"/>
  <c r="E120" i="12"/>
  <c r="C116" i="6"/>
  <c r="C117" i="5"/>
  <c r="C120" i="12"/>
  <c r="D94" i="10"/>
  <c r="C94" i="10"/>
  <c r="J36" i="10"/>
  <c r="K36" i="10"/>
  <c r="M36" i="10"/>
  <c r="B94" i="10"/>
  <c r="B47" i="12"/>
  <c r="B111" i="12"/>
  <c r="B70" i="10"/>
  <c r="C106" i="12"/>
  <c r="C107" i="12" s="1"/>
  <c r="I23" i="2"/>
  <c r="K23" i="2" s="1"/>
  <c r="R23" i="2"/>
  <c r="T23" i="2" s="1"/>
  <c r="I24" i="2"/>
  <c r="K24" i="2" s="1"/>
  <c r="R24" i="2"/>
  <c r="T24" i="2" s="1"/>
  <c r="E106" i="12"/>
  <c r="E107" i="12" s="1"/>
  <c r="D94" i="12"/>
  <c r="B90" i="12"/>
  <c r="B94" i="12" s="1"/>
  <c r="E99" i="6"/>
  <c r="E102" i="6" s="1"/>
  <c r="C99" i="6"/>
  <c r="C102" i="6" s="1"/>
  <c r="D99" i="6"/>
  <c r="D102" i="6" s="1"/>
  <c r="M37" i="9"/>
  <c r="K37" i="9"/>
  <c r="L37" i="9"/>
  <c r="D100" i="5"/>
  <c r="C100" i="5"/>
  <c r="E100" i="5"/>
  <c r="D99" i="9"/>
  <c r="E99" i="9"/>
  <c r="C99" i="9"/>
  <c r="D101" i="6"/>
  <c r="E101" i="6"/>
  <c r="C101" i="6"/>
  <c r="C101" i="9"/>
  <c r="D101" i="9"/>
  <c r="E101" i="9"/>
  <c r="M39" i="9"/>
  <c r="L39" i="9"/>
  <c r="K39" i="9"/>
  <c r="B74" i="9"/>
  <c r="B76" i="9" s="1"/>
  <c r="B77" i="9" s="1"/>
  <c r="B74" i="5"/>
  <c r="B76" i="5" s="1"/>
  <c r="L33" i="9"/>
  <c r="K33" i="9"/>
  <c r="M33" i="9"/>
  <c r="L31" i="10"/>
  <c r="L36" i="10" s="1"/>
  <c r="M34" i="9"/>
  <c r="K34" i="9"/>
  <c r="L34" i="9"/>
  <c r="J41" i="10"/>
  <c r="B41" i="10"/>
  <c r="B99" i="10"/>
  <c r="J45" i="9"/>
  <c r="J36" i="9"/>
  <c r="J10" i="10"/>
  <c r="J11" i="10" s="1"/>
  <c r="J12" i="9"/>
  <c r="J14" i="9" s="1"/>
  <c r="J15" i="9" s="1"/>
  <c r="B102" i="6"/>
  <c r="B74" i="6"/>
  <c r="B76" i="6" s="1"/>
  <c r="B77" i="6" s="1"/>
  <c r="I25" i="2"/>
  <c r="K25" i="2" s="1"/>
  <c r="F35" i="1"/>
  <c r="B11" i="6"/>
  <c r="B13" i="6" s="1"/>
  <c r="B39" i="6" s="1"/>
  <c r="B8" i="9"/>
  <c r="B33" i="9"/>
  <c r="B34" i="9"/>
  <c r="B33" i="5"/>
  <c r="B45" i="9"/>
  <c r="B45" i="6"/>
  <c r="B107" i="9"/>
  <c r="B108" i="5"/>
  <c r="B107" i="6"/>
  <c r="A31" i="3"/>
  <c r="B45" i="5"/>
  <c r="E35" i="1"/>
  <c r="G35" i="1"/>
  <c r="D31" i="3" s="1"/>
  <c r="C15" i="13" l="1"/>
  <c r="E36" i="13"/>
  <c r="E37" i="13"/>
  <c r="E40" i="13" s="1"/>
  <c r="E41" i="13" s="1"/>
  <c r="B36" i="13"/>
  <c r="D36" i="13" s="1"/>
  <c r="C36" i="13"/>
  <c r="C40" i="13" s="1"/>
  <c r="C41" i="13" s="1"/>
  <c r="D37" i="13"/>
  <c r="B37" i="13" s="1"/>
  <c r="B79" i="13"/>
  <c r="B81" i="13" s="1"/>
  <c r="E133" i="13"/>
  <c r="E129" i="13"/>
  <c r="D29" i="4"/>
  <c r="E29" i="4"/>
  <c r="C29" i="4"/>
  <c r="B56" i="13"/>
  <c r="C43" i="3"/>
  <c r="L47" i="13"/>
  <c r="K47" i="13"/>
  <c r="J47" i="13"/>
  <c r="B47" i="13"/>
  <c r="B8" i="10"/>
  <c r="D128" i="13"/>
  <c r="B54" i="13"/>
  <c r="D54" i="13" s="1"/>
  <c r="K56" i="13"/>
  <c r="E51" i="10"/>
  <c r="E55" i="10" s="1"/>
  <c r="C57" i="12"/>
  <c r="C61" i="12" s="1"/>
  <c r="C10" i="10"/>
  <c r="C11" i="10" s="1"/>
  <c r="C12" i="10"/>
  <c r="M54" i="4"/>
  <c r="K54" i="4"/>
  <c r="L54" i="4"/>
  <c r="J60" i="4"/>
  <c r="J61" i="4" s="1"/>
  <c r="E131" i="13"/>
  <c r="D131" i="13"/>
  <c r="C131" i="13"/>
  <c r="C45" i="13"/>
  <c r="D45" i="13"/>
  <c r="E45" i="13"/>
  <c r="D108" i="13"/>
  <c r="C108" i="13"/>
  <c r="E108" i="13"/>
  <c r="J57" i="13"/>
  <c r="J61" i="13"/>
  <c r="C55" i="13"/>
  <c r="C59" i="13"/>
  <c r="B53" i="13"/>
  <c r="B55" i="12"/>
  <c r="D55" i="12" s="1"/>
  <c r="B49" i="10"/>
  <c r="D49" i="10" s="1"/>
  <c r="B107" i="10"/>
  <c r="D107" i="10" s="1"/>
  <c r="J53" i="9"/>
  <c r="L53" i="9" s="1"/>
  <c r="B53" i="6"/>
  <c r="D53" i="6" s="1"/>
  <c r="B115" i="6"/>
  <c r="D115" i="6" s="1"/>
  <c r="B115" i="9"/>
  <c r="D115" i="9" s="1"/>
  <c r="B119" i="12"/>
  <c r="D119" i="12" s="1"/>
  <c r="B53" i="9"/>
  <c r="D53" i="9" s="1"/>
  <c r="B13" i="13"/>
  <c r="B14" i="13" s="1"/>
  <c r="B48" i="13"/>
  <c r="B8" i="5"/>
  <c r="B11" i="5" s="1"/>
  <c r="B13" i="5" s="1"/>
  <c r="B39" i="5" s="1"/>
  <c r="E132" i="13"/>
  <c r="D132" i="13"/>
  <c r="C132" i="13"/>
  <c r="C54" i="4"/>
  <c r="D54" i="4"/>
  <c r="E54" i="4"/>
  <c r="E55" i="13"/>
  <c r="E59" i="13"/>
  <c r="L57" i="4"/>
  <c r="M57" i="4"/>
  <c r="K57" i="4"/>
  <c r="B46" i="13"/>
  <c r="B107" i="12"/>
  <c r="C55" i="9"/>
  <c r="C59" i="9" s="1"/>
  <c r="B53" i="5"/>
  <c r="D53" i="5" s="1"/>
  <c r="E119" i="13"/>
  <c r="C119" i="13"/>
  <c r="D119" i="13"/>
  <c r="E107" i="13"/>
  <c r="D107" i="13"/>
  <c r="C107" i="13"/>
  <c r="L57" i="13"/>
  <c r="L61" i="13"/>
  <c r="C129" i="13"/>
  <c r="C133" i="13"/>
  <c r="D35" i="13"/>
  <c r="M56" i="4"/>
  <c r="K56" i="4"/>
  <c r="L56" i="4"/>
  <c r="K42" i="13"/>
  <c r="K43" i="13" s="1"/>
  <c r="I36" i="13"/>
  <c r="I42" i="13" s="1"/>
  <c r="I43" i="13" s="1"/>
  <c r="M30" i="4"/>
  <c r="L30" i="4"/>
  <c r="K30" i="4"/>
  <c r="E33" i="10"/>
  <c r="E36" i="10" s="1"/>
  <c r="E32" i="10"/>
  <c r="C33" i="10"/>
  <c r="D33" i="10"/>
  <c r="B33" i="10" s="1"/>
  <c r="E57" i="12"/>
  <c r="E61" i="12" s="1"/>
  <c r="C51" i="10"/>
  <c r="C55" i="10" s="1"/>
  <c r="E55" i="9"/>
  <c r="E59" i="9" s="1"/>
  <c r="E122" i="5"/>
  <c r="E55" i="6"/>
  <c r="E59" i="6" s="1"/>
  <c r="B58" i="6"/>
  <c r="B120" i="6" s="1"/>
  <c r="B60" i="12"/>
  <c r="I60" i="13" s="1"/>
  <c r="B58" i="5"/>
  <c r="C58" i="5" s="1"/>
  <c r="B54" i="10"/>
  <c r="B58" i="9"/>
  <c r="J58" i="9" s="1"/>
  <c r="K58" i="9" s="1"/>
  <c r="C113" i="10"/>
  <c r="C109" i="10"/>
  <c r="C121" i="12"/>
  <c r="C125" i="12"/>
  <c r="B54" i="9"/>
  <c r="B116" i="6"/>
  <c r="B117" i="5"/>
  <c r="B54" i="6"/>
  <c r="B120" i="12"/>
  <c r="J50" i="10"/>
  <c r="B116" i="9"/>
  <c r="B50" i="10"/>
  <c r="B56" i="12"/>
  <c r="B108" i="10"/>
  <c r="B54" i="5"/>
  <c r="J54" i="9"/>
  <c r="E31" i="3"/>
  <c r="C118" i="5"/>
  <c r="C122" i="5"/>
  <c r="K51" i="10"/>
  <c r="K55" i="10"/>
  <c r="M51" i="10"/>
  <c r="M55" i="10"/>
  <c r="B57" i="9"/>
  <c r="B53" i="10"/>
  <c r="B57" i="6"/>
  <c r="B57" i="5"/>
  <c r="B59" i="12"/>
  <c r="I59" i="13" s="1"/>
  <c r="C117" i="6"/>
  <c r="C121" i="6"/>
  <c r="C117" i="9"/>
  <c r="C121" i="9"/>
  <c r="E125" i="12"/>
  <c r="E121" i="12"/>
  <c r="M55" i="9"/>
  <c r="M59" i="9"/>
  <c r="B56" i="5"/>
  <c r="B119" i="5"/>
  <c r="B56" i="6"/>
  <c r="B110" i="10"/>
  <c r="B118" i="9"/>
  <c r="B52" i="10"/>
  <c r="B122" i="12"/>
  <c r="B56" i="9"/>
  <c r="J52" i="10"/>
  <c r="B118" i="6"/>
  <c r="B58" i="12"/>
  <c r="J56" i="9"/>
  <c r="K55" i="9"/>
  <c r="K59" i="9"/>
  <c r="E117" i="9"/>
  <c r="E121" i="9"/>
  <c r="E113" i="10"/>
  <c r="E109" i="10"/>
  <c r="E121" i="6"/>
  <c r="E117" i="6"/>
  <c r="D111" i="12"/>
  <c r="E111" i="12"/>
  <c r="C111" i="12"/>
  <c r="B49" i="12"/>
  <c r="B113" i="12"/>
  <c r="B48" i="12"/>
  <c r="B112" i="12"/>
  <c r="E47" i="12"/>
  <c r="D47" i="12"/>
  <c r="C47" i="12"/>
  <c r="B50" i="12"/>
  <c r="B114" i="12"/>
  <c r="D107" i="12"/>
  <c r="B86" i="5"/>
  <c r="T27" i="2"/>
  <c r="B24" i="12" s="1"/>
  <c r="C39" i="6"/>
  <c r="E39" i="6"/>
  <c r="D39" i="6"/>
  <c r="B77" i="5"/>
  <c r="B102" i="5"/>
  <c r="J12" i="10"/>
  <c r="B102" i="10"/>
  <c r="J44" i="10"/>
  <c r="B44" i="10"/>
  <c r="J48" i="9"/>
  <c r="M36" i="9"/>
  <c r="M40" i="9" s="1"/>
  <c r="L36" i="9"/>
  <c r="L40" i="9" s="1"/>
  <c r="K36" i="9"/>
  <c r="K40" i="9" s="1"/>
  <c r="J37" i="10"/>
  <c r="K37" i="10"/>
  <c r="M37" i="10"/>
  <c r="M41" i="10"/>
  <c r="K41" i="10"/>
  <c r="L41" i="10"/>
  <c r="L37" i="10"/>
  <c r="E99" i="10"/>
  <c r="D99" i="10"/>
  <c r="C99" i="10"/>
  <c r="J40" i="9"/>
  <c r="B101" i="10"/>
  <c r="B43" i="10"/>
  <c r="J43" i="10"/>
  <c r="J47" i="9"/>
  <c r="E41" i="10"/>
  <c r="C41" i="10"/>
  <c r="D41" i="10"/>
  <c r="B12" i="6"/>
  <c r="B14" i="6" s="1"/>
  <c r="B15" i="6" s="1"/>
  <c r="D31" i="10"/>
  <c r="M45" i="9"/>
  <c r="K45" i="9"/>
  <c r="L45" i="9"/>
  <c r="B100" i="10"/>
  <c r="J42" i="10"/>
  <c r="B42" i="10"/>
  <c r="J46" i="9"/>
  <c r="B10" i="10"/>
  <c r="B11" i="10" s="1"/>
  <c r="K27" i="2"/>
  <c r="J5" i="2"/>
  <c r="J6" i="2" s="1"/>
  <c r="B47" i="6"/>
  <c r="B47" i="9"/>
  <c r="B109" i="9"/>
  <c r="B109" i="6"/>
  <c r="B110" i="5"/>
  <c r="B31" i="3"/>
  <c r="B47" i="5"/>
  <c r="B11" i="9"/>
  <c r="B13" i="9" s="1"/>
  <c r="D33" i="5"/>
  <c r="C33" i="5"/>
  <c r="B96" i="5"/>
  <c r="E33" i="5"/>
  <c r="B46" i="9"/>
  <c r="B46" i="6"/>
  <c r="B108" i="9"/>
  <c r="B109" i="5"/>
  <c r="B108" i="6"/>
  <c r="C31" i="3"/>
  <c r="B46" i="5"/>
  <c r="E107" i="6"/>
  <c r="C107" i="6"/>
  <c r="D107" i="6"/>
  <c r="E34" i="5"/>
  <c r="D34" i="5"/>
  <c r="C34" i="5"/>
  <c r="B97" i="5"/>
  <c r="C108" i="5"/>
  <c r="D108" i="5"/>
  <c r="E108" i="5"/>
  <c r="B48" i="9"/>
  <c r="B48" i="6"/>
  <c r="B111" i="5"/>
  <c r="B110" i="6"/>
  <c r="B110" i="9"/>
  <c r="B48" i="5"/>
  <c r="C45" i="5"/>
  <c r="D45" i="5"/>
  <c r="E45" i="5"/>
  <c r="D107" i="9"/>
  <c r="C107" i="9"/>
  <c r="E107" i="9"/>
  <c r="C45" i="6"/>
  <c r="D45" i="6"/>
  <c r="E45" i="6"/>
  <c r="D45" i="9"/>
  <c r="E45" i="9"/>
  <c r="C45" i="9"/>
  <c r="E34" i="9"/>
  <c r="C34" i="9"/>
  <c r="D34" i="9"/>
  <c r="B96" i="9"/>
  <c r="D33" i="9"/>
  <c r="C33" i="9"/>
  <c r="B95" i="9"/>
  <c r="E33" i="9"/>
  <c r="B15" i="13" l="1"/>
  <c r="B40" i="13"/>
  <c r="B41" i="13" s="1"/>
  <c r="B80" i="13"/>
  <c r="B82" i="13" s="1"/>
  <c r="B83" i="13" s="1"/>
  <c r="B123" i="13"/>
  <c r="D40" i="13"/>
  <c r="D41" i="13" s="1"/>
  <c r="L48" i="13"/>
  <c r="J48" i="13"/>
  <c r="K48" i="13"/>
  <c r="E48" i="13"/>
  <c r="C48" i="13"/>
  <c r="D48" i="13"/>
  <c r="K55" i="13"/>
  <c r="I61" i="13"/>
  <c r="I57" i="13"/>
  <c r="L60" i="4"/>
  <c r="L61" i="4" s="1"/>
  <c r="C32" i="10"/>
  <c r="C36" i="10" s="1"/>
  <c r="B32" i="10"/>
  <c r="D47" i="13"/>
  <c r="C47" i="13"/>
  <c r="E47" i="13"/>
  <c r="L58" i="13"/>
  <c r="K58" i="13"/>
  <c r="J58" i="13" s="1"/>
  <c r="C54" i="10"/>
  <c r="B58" i="13"/>
  <c r="C120" i="13"/>
  <c r="E120" i="13"/>
  <c r="D120" i="13"/>
  <c r="D53" i="13"/>
  <c r="B59" i="13"/>
  <c r="B55" i="13"/>
  <c r="M60" i="4"/>
  <c r="M61" i="4" s="1"/>
  <c r="E130" i="13"/>
  <c r="E134" i="13" s="1"/>
  <c r="D130" i="13"/>
  <c r="C130" i="13" s="1"/>
  <c r="C134" i="13" s="1"/>
  <c r="J50" i="13"/>
  <c r="K50" i="13"/>
  <c r="L50" i="13"/>
  <c r="B129" i="13"/>
  <c r="D127" i="13"/>
  <c r="J49" i="13"/>
  <c r="L49" i="13"/>
  <c r="K49" i="13"/>
  <c r="I51" i="13"/>
  <c r="E46" i="13"/>
  <c r="D46" i="13"/>
  <c r="C46" i="13"/>
  <c r="E122" i="13"/>
  <c r="D122" i="13"/>
  <c r="C122" i="13"/>
  <c r="B49" i="13"/>
  <c r="K60" i="4"/>
  <c r="K61" i="4" s="1"/>
  <c r="E121" i="13"/>
  <c r="D121" i="13"/>
  <c r="C121" i="13"/>
  <c r="D56" i="13"/>
  <c r="C56" i="13" s="1"/>
  <c r="E56" i="13"/>
  <c r="B113" i="13"/>
  <c r="B110" i="13"/>
  <c r="L60" i="13"/>
  <c r="K60" i="13"/>
  <c r="J60" i="13"/>
  <c r="C60" i="12"/>
  <c r="D60" i="12"/>
  <c r="B56" i="4"/>
  <c r="B33" i="4"/>
  <c r="B34" i="4" s="1"/>
  <c r="M29" i="4"/>
  <c r="M33" i="4" s="1"/>
  <c r="M34" i="4" s="1"/>
  <c r="K29" i="4"/>
  <c r="K33" i="4" s="1"/>
  <c r="L29" i="4"/>
  <c r="L33" i="4" s="1"/>
  <c r="J33" i="4"/>
  <c r="B57" i="4"/>
  <c r="C30" i="4"/>
  <c r="E30" i="4"/>
  <c r="D30" i="4"/>
  <c r="D58" i="5"/>
  <c r="E58" i="5"/>
  <c r="B121" i="5"/>
  <c r="C58" i="6"/>
  <c r="E60" i="12"/>
  <c r="E58" i="6"/>
  <c r="D58" i="6"/>
  <c r="E58" i="9"/>
  <c r="C58" i="9"/>
  <c r="L58" i="9"/>
  <c r="D54" i="10"/>
  <c r="E54" i="10"/>
  <c r="B112" i="10"/>
  <c r="C112" i="10" s="1"/>
  <c r="M58" i="9"/>
  <c r="D58" i="12"/>
  <c r="C58" i="12" s="1"/>
  <c r="E58" i="12"/>
  <c r="E110" i="10"/>
  <c r="D110" i="10"/>
  <c r="C110" i="10" s="1"/>
  <c r="J57" i="9"/>
  <c r="B119" i="9"/>
  <c r="D57" i="9"/>
  <c r="E57" i="9"/>
  <c r="C57" i="9"/>
  <c r="D120" i="12"/>
  <c r="B125" i="12"/>
  <c r="B121" i="12"/>
  <c r="E118" i="6"/>
  <c r="D118" i="6"/>
  <c r="C118" i="6" s="1"/>
  <c r="D56" i="6"/>
  <c r="C56" i="6" s="1"/>
  <c r="E56" i="6"/>
  <c r="L54" i="9"/>
  <c r="J59" i="9"/>
  <c r="J55" i="9"/>
  <c r="D54" i="6"/>
  <c r="D55" i="6" s="1"/>
  <c r="D59" i="6" s="1"/>
  <c r="B55" i="6"/>
  <c r="B59" i="6" s="1"/>
  <c r="B60" i="6" s="1"/>
  <c r="L52" i="10"/>
  <c r="K52" i="10" s="1"/>
  <c r="M52" i="10"/>
  <c r="D119" i="5"/>
  <c r="C119" i="5" s="1"/>
  <c r="E119" i="5"/>
  <c r="E118" i="5" s="1"/>
  <c r="D54" i="5"/>
  <c r="D55" i="5" s="1"/>
  <c r="D59" i="5" s="1"/>
  <c r="B55" i="5"/>
  <c r="B59" i="5" s="1"/>
  <c r="B60" i="5" s="1"/>
  <c r="D117" i="5"/>
  <c r="B122" i="5"/>
  <c r="B118" i="5"/>
  <c r="D56" i="9"/>
  <c r="C56" i="9" s="1"/>
  <c r="E56" i="9"/>
  <c r="D56" i="5"/>
  <c r="C56" i="5" s="1"/>
  <c r="E56" i="5"/>
  <c r="D108" i="10"/>
  <c r="B109" i="10"/>
  <c r="B113" i="10"/>
  <c r="B57" i="13" s="1"/>
  <c r="D116" i="6"/>
  <c r="B121" i="6"/>
  <c r="B117" i="6"/>
  <c r="E122" i="12"/>
  <c r="D122" i="12"/>
  <c r="C122" i="12" s="1"/>
  <c r="C59" i="12"/>
  <c r="D59" i="12"/>
  <c r="E59" i="12"/>
  <c r="B123" i="12"/>
  <c r="D56" i="12"/>
  <c r="D57" i="12" s="1"/>
  <c r="B57" i="12"/>
  <c r="B61" i="12" s="1"/>
  <c r="B124" i="12" s="1"/>
  <c r="D54" i="9"/>
  <c r="D55" i="9" s="1"/>
  <c r="B55" i="9"/>
  <c r="B59" i="9" s="1"/>
  <c r="B60" i="9" s="1"/>
  <c r="E52" i="10"/>
  <c r="D52" i="10"/>
  <c r="C52" i="10" s="1"/>
  <c r="B120" i="5"/>
  <c r="E57" i="5"/>
  <c r="C57" i="5"/>
  <c r="D57" i="5"/>
  <c r="D50" i="10"/>
  <c r="D51" i="10" s="1"/>
  <c r="B51" i="10"/>
  <c r="D58" i="9"/>
  <c r="J54" i="10"/>
  <c r="K54" i="10" s="1"/>
  <c r="D118" i="9"/>
  <c r="C118" i="9" s="1"/>
  <c r="E118" i="9"/>
  <c r="C57" i="6"/>
  <c r="D57" i="6"/>
  <c r="B119" i="6"/>
  <c r="E57" i="6"/>
  <c r="D116" i="9"/>
  <c r="B117" i="9"/>
  <c r="B121" i="9"/>
  <c r="B120" i="9"/>
  <c r="E120" i="9" s="1"/>
  <c r="L56" i="9"/>
  <c r="K56" i="9" s="1"/>
  <c r="M56" i="9"/>
  <c r="B111" i="10"/>
  <c r="D53" i="10"/>
  <c r="C53" i="10"/>
  <c r="J53" i="10" s="1"/>
  <c r="E53" i="10"/>
  <c r="L50" i="10"/>
  <c r="J51" i="10"/>
  <c r="J55" i="10"/>
  <c r="C120" i="6"/>
  <c r="E120" i="6"/>
  <c r="D120" i="6"/>
  <c r="D121" i="5"/>
  <c r="E121" i="5"/>
  <c r="C121" i="5"/>
  <c r="E48" i="12"/>
  <c r="D48" i="12"/>
  <c r="C48" i="12"/>
  <c r="D114" i="12"/>
  <c r="E114" i="12"/>
  <c r="C114" i="12"/>
  <c r="E113" i="12"/>
  <c r="C113" i="12"/>
  <c r="D113" i="12"/>
  <c r="E50" i="12"/>
  <c r="C50" i="12"/>
  <c r="D50" i="12"/>
  <c r="E49" i="12"/>
  <c r="D49" i="12"/>
  <c r="C49" i="12"/>
  <c r="E112" i="12"/>
  <c r="C112" i="12"/>
  <c r="D112" i="12"/>
  <c r="B115" i="12"/>
  <c r="B51" i="12"/>
  <c r="E26" i="12"/>
  <c r="E30" i="12" s="1"/>
  <c r="E43" i="12" s="1"/>
  <c r="C26" i="12"/>
  <c r="C30" i="12" s="1"/>
  <c r="C43" i="12" s="1"/>
  <c r="D26" i="12"/>
  <c r="L25" i="2"/>
  <c r="N25" i="2" s="1"/>
  <c r="N32" i="2"/>
  <c r="N30" i="2"/>
  <c r="N35" i="2"/>
  <c r="N31" i="2"/>
  <c r="N34" i="2"/>
  <c r="N38" i="2" s="1"/>
  <c r="B83" i="6" s="1"/>
  <c r="N33" i="2"/>
  <c r="B23" i="5"/>
  <c r="C39" i="5"/>
  <c r="E39" i="5"/>
  <c r="D39" i="5"/>
  <c r="E102" i="5"/>
  <c r="C102" i="5"/>
  <c r="D102" i="5"/>
  <c r="B39" i="9"/>
  <c r="E39" i="9" s="1"/>
  <c r="C13" i="9"/>
  <c r="L23" i="2"/>
  <c r="N23" i="2" s="1"/>
  <c r="B12" i="10"/>
  <c r="B103" i="10"/>
  <c r="D88" i="5"/>
  <c r="E88" i="5"/>
  <c r="E92" i="5" s="1"/>
  <c r="C88" i="5"/>
  <c r="C92" i="5" s="1"/>
  <c r="B49" i="5"/>
  <c r="B12" i="5"/>
  <c r="B14" i="5" s="1"/>
  <c r="B15" i="5" s="1"/>
  <c r="E42" i="10"/>
  <c r="D42" i="10"/>
  <c r="C42" i="10"/>
  <c r="C37" i="10"/>
  <c r="E37" i="10"/>
  <c r="M42" i="10"/>
  <c r="K42" i="10"/>
  <c r="L42" i="10"/>
  <c r="E101" i="10"/>
  <c r="D101" i="10"/>
  <c r="C101" i="10"/>
  <c r="J45" i="10"/>
  <c r="E44" i="10"/>
  <c r="D44" i="10"/>
  <c r="C44" i="10"/>
  <c r="E43" i="10"/>
  <c r="C43" i="10"/>
  <c r="D43" i="10"/>
  <c r="K48" i="9"/>
  <c r="M48" i="9"/>
  <c r="L48" i="9"/>
  <c r="E100" i="10"/>
  <c r="C100" i="10"/>
  <c r="D100" i="10"/>
  <c r="L47" i="9"/>
  <c r="M47" i="9"/>
  <c r="K47" i="9"/>
  <c r="L44" i="10"/>
  <c r="M44" i="10"/>
  <c r="K44" i="10"/>
  <c r="M46" i="9"/>
  <c r="L46" i="9"/>
  <c r="K46" i="9"/>
  <c r="J49" i="9"/>
  <c r="B45" i="10"/>
  <c r="K43" i="10"/>
  <c r="L43" i="10"/>
  <c r="M43" i="10"/>
  <c r="E102" i="10"/>
  <c r="D102" i="10"/>
  <c r="C102" i="10"/>
  <c r="L22" i="2"/>
  <c r="N22" i="2" s="1"/>
  <c r="L26" i="2"/>
  <c r="N26" i="2" s="1"/>
  <c r="L21" i="2"/>
  <c r="N21" i="2" s="1"/>
  <c r="L24" i="2"/>
  <c r="N24" i="2" s="1"/>
  <c r="C40" i="6"/>
  <c r="D40" i="6"/>
  <c r="E40" i="6"/>
  <c r="B40" i="6"/>
  <c r="B49" i="9"/>
  <c r="B111" i="9"/>
  <c r="E111" i="5"/>
  <c r="D111" i="5"/>
  <c r="C111" i="5"/>
  <c r="E97" i="5"/>
  <c r="D97" i="5"/>
  <c r="C97" i="5"/>
  <c r="D96" i="5"/>
  <c r="C96" i="5"/>
  <c r="E96" i="5"/>
  <c r="E48" i="6"/>
  <c r="C48" i="6"/>
  <c r="D48" i="6"/>
  <c r="B12" i="9"/>
  <c r="B14" i="9" s="1"/>
  <c r="B15" i="9" s="1"/>
  <c r="E48" i="5"/>
  <c r="D48" i="5"/>
  <c r="C48" i="5"/>
  <c r="C48" i="9"/>
  <c r="E48" i="9"/>
  <c r="D48" i="9"/>
  <c r="B112" i="5"/>
  <c r="D108" i="6"/>
  <c r="C108" i="6"/>
  <c r="E108" i="6"/>
  <c r="M5" i="2"/>
  <c r="M6" i="2" s="1"/>
  <c r="B36" i="9"/>
  <c r="E110" i="5"/>
  <c r="D110" i="5"/>
  <c r="C110" i="5"/>
  <c r="E109" i="5"/>
  <c r="C109" i="5"/>
  <c r="D109" i="5"/>
  <c r="E109" i="6"/>
  <c r="D109" i="6"/>
  <c r="C109" i="6"/>
  <c r="C110" i="6"/>
  <c r="D110" i="6"/>
  <c r="E110" i="6"/>
  <c r="E96" i="9"/>
  <c r="D96" i="9"/>
  <c r="C96" i="9"/>
  <c r="D46" i="5"/>
  <c r="E46" i="5"/>
  <c r="C46" i="5"/>
  <c r="C108" i="9"/>
  <c r="E108" i="9"/>
  <c r="D108" i="9"/>
  <c r="E109" i="9"/>
  <c r="C109" i="9"/>
  <c r="D109" i="9"/>
  <c r="B111" i="6"/>
  <c r="B49" i="6"/>
  <c r="B36" i="5"/>
  <c r="E46" i="6"/>
  <c r="C46" i="6"/>
  <c r="D46" i="6"/>
  <c r="E47" i="5"/>
  <c r="D47" i="5"/>
  <c r="C47" i="5"/>
  <c r="D47" i="9"/>
  <c r="C47" i="9"/>
  <c r="E47" i="9"/>
  <c r="C95" i="9"/>
  <c r="D95" i="9"/>
  <c r="E95" i="9"/>
  <c r="E110" i="9"/>
  <c r="C110" i="9"/>
  <c r="D110" i="9"/>
  <c r="C46" i="9"/>
  <c r="D46" i="9"/>
  <c r="E46" i="9"/>
  <c r="E47" i="6"/>
  <c r="C47" i="6"/>
  <c r="D47" i="6"/>
  <c r="D123" i="13" l="1"/>
  <c r="D49" i="13"/>
  <c r="L51" i="13"/>
  <c r="E49" i="13"/>
  <c r="C49" i="13"/>
  <c r="K51" i="13"/>
  <c r="J51" i="13"/>
  <c r="C123" i="13"/>
  <c r="D59" i="13"/>
  <c r="D55" i="13"/>
  <c r="C113" i="13"/>
  <c r="D113" i="13"/>
  <c r="E113" i="13"/>
  <c r="B85" i="6"/>
  <c r="D87" i="6" s="1"/>
  <c r="D57" i="13"/>
  <c r="C57" i="13"/>
  <c r="E57" i="13"/>
  <c r="B60" i="13"/>
  <c r="E123" i="13"/>
  <c r="D32" i="10"/>
  <c r="D36" i="10" s="1"/>
  <c r="D37" i="10" s="1"/>
  <c r="B36" i="10"/>
  <c r="B37" i="10" s="1"/>
  <c r="D110" i="13"/>
  <c r="D114" i="13" s="1"/>
  <c r="E110" i="13"/>
  <c r="E114" i="13" s="1"/>
  <c r="C110" i="13"/>
  <c r="C114" i="13" s="1"/>
  <c r="B114" i="13"/>
  <c r="K61" i="13"/>
  <c r="K57" i="13"/>
  <c r="B134" i="13"/>
  <c r="E58" i="13"/>
  <c r="D58" i="13"/>
  <c r="C58" i="13"/>
  <c r="D133" i="13"/>
  <c r="D129" i="13"/>
  <c r="L59" i="13"/>
  <c r="L62" i="13" s="1"/>
  <c r="K59" i="13"/>
  <c r="J59" i="13"/>
  <c r="J62" i="13" s="1"/>
  <c r="I62" i="13"/>
  <c r="D33" i="4"/>
  <c r="D34" i="4" s="1"/>
  <c r="E33" i="4"/>
  <c r="E34" i="4" s="1"/>
  <c r="E57" i="4"/>
  <c r="D57" i="4"/>
  <c r="C57" i="4"/>
  <c r="C33" i="4"/>
  <c r="C34" i="4" s="1"/>
  <c r="D56" i="4"/>
  <c r="E56" i="4"/>
  <c r="C56" i="4"/>
  <c r="B60" i="4"/>
  <c r="E112" i="10"/>
  <c r="E60" i="9"/>
  <c r="B62" i="12"/>
  <c r="D112" i="10"/>
  <c r="C62" i="12"/>
  <c r="C60" i="9"/>
  <c r="E56" i="10"/>
  <c r="B122" i="6"/>
  <c r="E60" i="6"/>
  <c r="B123" i="5"/>
  <c r="C120" i="9"/>
  <c r="M54" i="10"/>
  <c r="J60" i="9"/>
  <c r="E60" i="5"/>
  <c r="C60" i="5"/>
  <c r="D59" i="9"/>
  <c r="D60" i="9" s="1"/>
  <c r="D64" i="9"/>
  <c r="D65" i="9" s="1"/>
  <c r="D113" i="10"/>
  <c r="D109" i="10"/>
  <c r="D122" i="5"/>
  <c r="D118" i="5"/>
  <c r="J56" i="10"/>
  <c r="D119" i="9"/>
  <c r="C119" i="9"/>
  <c r="E119" i="9"/>
  <c r="E122" i="9" s="1"/>
  <c r="D120" i="9"/>
  <c r="L51" i="10"/>
  <c r="L55" i="10"/>
  <c r="E120" i="5"/>
  <c r="E123" i="5" s="1"/>
  <c r="C120" i="5"/>
  <c r="C123" i="5" s="1"/>
  <c r="D120" i="5"/>
  <c r="D61" i="12"/>
  <c r="D62" i="12" s="1"/>
  <c r="D60" i="5"/>
  <c r="D60" i="6"/>
  <c r="K57" i="9"/>
  <c r="K60" i="9" s="1"/>
  <c r="L57" i="9"/>
  <c r="M57" i="9"/>
  <c r="M60" i="9" s="1"/>
  <c r="B122" i="9"/>
  <c r="C56" i="10"/>
  <c r="E123" i="12"/>
  <c r="D123" i="12"/>
  <c r="C123" i="12"/>
  <c r="M53" i="10"/>
  <c r="K53" i="10"/>
  <c r="K56" i="10" s="1"/>
  <c r="L53" i="10"/>
  <c r="D117" i="9"/>
  <c r="D121" i="9"/>
  <c r="L55" i="9"/>
  <c r="L59" i="9"/>
  <c r="L54" i="10"/>
  <c r="B55" i="10"/>
  <c r="B56" i="10" s="1"/>
  <c r="D121" i="6"/>
  <c r="D117" i="6"/>
  <c r="D121" i="12"/>
  <c r="D125" i="12"/>
  <c r="E62" i="12"/>
  <c r="E111" i="10"/>
  <c r="E114" i="10" s="1"/>
  <c r="C111" i="10"/>
  <c r="C114" i="10" s="1"/>
  <c r="D111" i="10"/>
  <c r="D119" i="6"/>
  <c r="C119" i="6"/>
  <c r="C122" i="6" s="1"/>
  <c r="E119" i="6"/>
  <c r="E122" i="6" s="1"/>
  <c r="D55" i="10"/>
  <c r="D56" i="10" s="1"/>
  <c r="C60" i="6"/>
  <c r="B114" i="10"/>
  <c r="E124" i="12"/>
  <c r="C124" i="12"/>
  <c r="D124" i="12"/>
  <c r="B126" i="12"/>
  <c r="D51" i="12"/>
  <c r="C87" i="6"/>
  <c r="C91" i="6" s="1"/>
  <c r="C103" i="6" s="1"/>
  <c r="E115" i="12"/>
  <c r="E51" i="12"/>
  <c r="D115" i="12"/>
  <c r="C51" i="12"/>
  <c r="C115" i="12"/>
  <c r="N36" i="2"/>
  <c r="N37" i="2" s="1"/>
  <c r="B21" i="6" s="1"/>
  <c r="E87" i="6"/>
  <c r="E91" i="6" s="1"/>
  <c r="E103" i="6" s="1"/>
  <c r="D103" i="10"/>
  <c r="C39" i="9"/>
  <c r="B26" i="12"/>
  <c r="B30" i="12" s="1"/>
  <c r="B43" i="12" s="1"/>
  <c r="D30" i="12"/>
  <c r="D39" i="9"/>
  <c r="Q32" i="2"/>
  <c r="Q30" i="2"/>
  <c r="Q35" i="2"/>
  <c r="Q34" i="2"/>
  <c r="Q38" i="2" s="1"/>
  <c r="Q33" i="2"/>
  <c r="Q39" i="2" s="1"/>
  <c r="J21" i="9" s="1"/>
  <c r="Q31" i="2"/>
  <c r="E111" i="9"/>
  <c r="K49" i="9"/>
  <c r="D45" i="10"/>
  <c r="L45" i="10"/>
  <c r="E45" i="10"/>
  <c r="M49" i="9"/>
  <c r="L49" i="9"/>
  <c r="D92" i="5"/>
  <c r="B88" i="5"/>
  <c r="B92" i="5" s="1"/>
  <c r="M45" i="10"/>
  <c r="K45" i="10"/>
  <c r="C103" i="10"/>
  <c r="E103" i="10"/>
  <c r="C45" i="10"/>
  <c r="E25" i="5"/>
  <c r="E29" i="5" s="1"/>
  <c r="C25" i="5"/>
  <c r="C29" i="5" s="1"/>
  <c r="D25" i="5"/>
  <c r="B6" i="14" s="1"/>
  <c r="E49" i="5"/>
  <c r="E112" i="5"/>
  <c r="E95" i="10"/>
  <c r="C95" i="10"/>
  <c r="D95" i="10"/>
  <c r="B95" i="10"/>
  <c r="D91" i="6"/>
  <c r="B87" i="6"/>
  <c r="B91" i="6" s="1"/>
  <c r="N27" i="2"/>
  <c r="E49" i="9"/>
  <c r="D111" i="9"/>
  <c r="C112" i="5"/>
  <c r="D112" i="5"/>
  <c r="D49" i="9"/>
  <c r="C49" i="9"/>
  <c r="C111" i="9"/>
  <c r="E111" i="6"/>
  <c r="C111" i="6"/>
  <c r="C49" i="6"/>
  <c r="D111" i="6"/>
  <c r="D49" i="6"/>
  <c r="E49" i="6"/>
  <c r="C49" i="5"/>
  <c r="D49" i="5"/>
  <c r="B40" i="5"/>
  <c r="E36" i="5"/>
  <c r="D36" i="5"/>
  <c r="D40" i="5" s="1"/>
  <c r="C36" i="5"/>
  <c r="C40" i="5" s="1"/>
  <c r="B99" i="5"/>
  <c r="D36" i="9"/>
  <c r="D40" i="9" s="1"/>
  <c r="B98" i="9"/>
  <c r="E36" i="9"/>
  <c r="E40" i="9" s="1"/>
  <c r="C36" i="9"/>
  <c r="C40" i="9" s="1"/>
  <c r="O22" i="2"/>
  <c r="Q22" i="2" s="1"/>
  <c r="O21" i="2"/>
  <c r="Q21" i="2" s="1"/>
  <c r="O23" i="2"/>
  <c r="Q23" i="2" s="1"/>
  <c r="O24" i="2"/>
  <c r="Q24" i="2" s="1"/>
  <c r="O26" i="2"/>
  <c r="Q26" i="2" s="1"/>
  <c r="O25" i="2"/>
  <c r="Q25" i="2" s="1"/>
  <c r="B40" i="9"/>
  <c r="C60" i="13" l="1"/>
  <c r="K62" i="13"/>
  <c r="D43" i="12"/>
  <c r="B23" i="6"/>
  <c r="D25" i="6" s="1"/>
  <c r="B7" i="14" s="1"/>
  <c r="B97" i="13"/>
  <c r="B83" i="9"/>
  <c r="D60" i="13"/>
  <c r="E60" i="4"/>
  <c r="D134" i="13"/>
  <c r="E60" i="13"/>
  <c r="D60" i="4"/>
  <c r="C60" i="4"/>
  <c r="D126" i="12"/>
  <c r="M56" i="10"/>
  <c r="D122" i="6"/>
  <c r="C122" i="9"/>
  <c r="C126" i="12"/>
  <c r="E126" i="12"/>
  <c r="D123" i="5"/>
  <c r="L60" i="9"/>
  <c r="L56" i="10"/>
  <c r="D122" i="9"/>
  <c r="D114" i="10"/>
  <c r="Q36" i="2"/>
  <c r="Q37" i="2" s="1"/>
  <c r="B21" i="9" s="1"/>
  <c r="B85" i="9"/>
  <c r="J23" i="9"/>
  <c r="C41" i="5"/>
  <c r="D29" i="5"/>
  <c r="C6" i="14" s="1"/>
  <c r="P6" i="14" s="1"/>
  <c r="B25" i="5"/>
  <c r="B29" i="5" s="1"/>
  <c r="B103" i="6"/>
  <c r="D103" i="6"/>
  <c r="E25" i="6"/>
  <c r="E29" i="6" s="1"/>
  <c r="B102" i="9"/>
  <c r="E40" i="5"/>
  <c r="E41" i="5" s="1"/>
  <c r="E98" i="9"/>
  <c r="D98" i="9"/>
  <c r="C98" i="9"/>
  <c r="B103" i="5"/>
  <c r="B104" i="5" s="1"/>
  <c r="E99" i="5"/>
  <c r="D99" i="5"/>
  <c r="D103" i="5" s="1"/>
  <c r="D104" i="5" s="1"/>
  <c r="C99" i="5"/>
  <c r="Q27" i="2"/>
  <c r="C99" i="13" l="1"/>
  <c r="C103" i="13" s="1"/>
  <c r="C115" i="13" s="1"/>
  <c r="D99" i="13"/>
  <c r="E99" i="13"/>
  <c r="E103" i="13" s="1"/>
  <c r="E115" i="13" s="1"/>
  <c r="C25" i="6"/>
  <c r="C29" i="6" s="1"/>
  <c r="C41" i="6" s="1"/>
  <c r="M25" i="9"/>
  <c r="M29" i="9" s="1"/>
  <c r="K25" i="9"/>
  <c r="K29" i="9" s="1"/>
  <c r="L25" i="9"/>
  <c r="B41" i="5"/>
  <c r="D41" i="5"/>
  <c r="D87" i="9"/>
  <c r="C87" i="9"/>
  <c r="C91" i="9" s="1"/>
  <c r="E87" i="9"/>
  <c r="E91" i="9" s="1"/>
  <c r="D29" i="6"/>
  <c r="C7" i="14" s="1"/>
  <c r="P7" i="14" s="1"/>
  <c r="B25" i="6"/>
  <c r="B29" i="6" s="1"/>
  <c r="E41" i="6"/>
  <c r="D102" i="9"/>
  <c r="E103" i="5"/>
  <c r="E104" i="5" s="1"/>
  <c r="C103" i="5"/>
  <c r="C104" i="5" s="1"/>
  <c r="C102" i="9"/>
  <c r="E102" i="9"/>
  <c r="B23" i="9"/>
  <c r="D103" i="13" l="1"/>
  <c r="D115" i="13" s="1"/>
  <c r="B99" i="13"/>
  <c r="B103" i="13" s="1"/>
  <c r="B115" i="13" s="1"/>
  <c r="J25" i="9"/>
  <c r="J29" i="9" s="1"/>
  <c r="L29" i="9"/>
  <c r="K41" i="9"/>
  <c r="M41" i="9"/>
  <c r="D91" i="9"/>
  <c r="B87" i="9"/>
  <c r="B91" i="9" s="1"/>
  <c r="E103" i="9"/>
  <c r="C103" i="9"/>
  <c r="B41" i="6"/>
  <c r="D41" i="6"/>
  <c r="C25" i="9"/>
  <c r="C29" i="9" s="1"/>
  <c r="D25" i="9"/>
  <c r="B5" i="14" s="1"/>
  <c r="E25" i="9"/>
  <c r="E29" i="9" s="1"/>
  <c r="L41" i="9" l="1"/>
  <c r="J41" i="9"/>
  <c r="B103" i="9"/>
  <c r="D103" i="9"/>
  <c r="E41" i="9"/>
  <c r="B25" i="9"/>
  <c r="B29" i="9" s="1"/>
  <c r="D29" i="9"/>
  <c r="C5" i="14" s="1"/>
  <c r="P5" i="14" s="1"/>
  <c r="C41" i="9"/>
  <c r="D41" i="9" l="1"/>
  <c r="B41" i="9"/>
  <c r="L24" i="4"/>
  <c r="L34" i="4" s="1"/>
  <c r="K20" i="4"/>
  <c r="K24" i="4" s="1"/>
  <c r="K34" i="4" s="1"/>
  <c r="J24" i="4"/>
  <c r="J34" i="4" s="1"/>
  <c r="E47" i="4" l="1"/>
  <c r="E51" i="4" s="1"/>
  <c r="E61" i="4" s="1"/>
  <c r="D47" i="4"/>
  <c r="C47" i="4"/>
  <c r="C51" i="4" s="1"/>
  <c r="C61" i="4" s="1"/>
  <c r="B47" i="4" l="1"/>
  <c r="B51" i="4" s="1"/>
  <c r="B61" i="4" s="1"/>
  <c r="D51" i="4"/>
  <c r="D6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DC1FE7A7-8ACD-49F4-B829-F0624536444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Pick from the Drop-down list to generate data in the Optimized Data sheet.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Prasad, Sarthak</author>
  </authors>
  <commentList>
    <comment ref="C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Prasad, Sarthak:</t>
        </r>
        <r>
          <rPr>
            <sz val="9"/>
            <color indexed="81"/>
            <rFont val="Tahoma"/>
            <family val="2"/>
          </rPr>
          <t xml:space="preserve">
Data from EPA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Prasad, Sarthak</author>
  </authors>
  <commentList>
    <comment ref="H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Prasad, Sarthak:</t>
        </r>
        <r>
          <rPr>
            <sz val="9"/>
            <color indexed="81"/>
            <rFont val="Tahoma"/>
            <family val="2"/>
          </rPr>
          <t xml:space="preserve">
this is equal to Number of buckets every 5 minutes times 5 (minutes) times 5 (gallon per minute)</t>
        </r>
      </text>
    </comment>
  </commentList>
</comments>
</file>

<file path=xl/sharedStrings.xml><?xml version="1.0" encoding="utf-8"?>
<sst xmlns="http://schemas.openxmlformats.org/spreadsheetml/2006/main" count="1804" uniqueCount="437">
  <si>
    <t>Biogas to electricity</t>
  </si>
  <si>
    <t>Data from WWTP - Co-generation of heat and electricity</t>
  </si>
  <si>
    <t>Year</t>
  </si>
  <si>
    <t>Value of electricity</t>
  </si>
  <si>
    <t>kWH</t>
  </si>
  <si>
    <t>$/kWH</t>
  </si>
  <si>
    <t>Value of Heat</t>
  </si>
  <si>
    <t>Maintenance</t>
  </si>
  <si>
    <t>Tipping fee to UCSD (in $/gallon)</t>
  </si>
  <si>
    <t>Theoretical</t>
  </si>
  <si>
    <t>Tipping fee to UCSD (in $/ton)</t>
  </si>
  <si>
    <t>Power production (in kWH)</t>
  </si>
  <si>
    <t>Biogas production (in cf/h)</t>
  </si>
  <si>
    <t>1 cf/h = x kWH</t>
  </si>
  <si>
    <t>1 cf (w/o loss)\</t>
  </si>
  <si>
    <t>kwh</t>
  </si>
  <si>
    <t>Average</t>
  </si>
  <si>
    <t>or 1 kWH = x cf/h</t>
  </si>
  <si>
    <t>1 cf (w 66% loss)</t>
  </si>
  <si>
    <t>1 gallon water</t>
  </si>
  <si>
    <t>3.79 L</t>
  </si>
  <si>
    <t>8.36 lbs</t>
  </si>
  <si>
    <t>Actual data from WWTP</t>
  </si>
  <si>
    <t>Food waste 1 gallon</t>
  </si>
  <si>
    <t>85% water</t>
  </si>
  <si>
    <t>WWTP produces biogas (cf/day)</t>
  </si>
  <si>
    <t>WWTP produces biogas (cf/h)</t>
  </si>
  <si>
    <t>Power difference (in kWH)</t>
  </si>
  <si>
    <t>Electricity cost of this power</t>
  </si>
  <si>
    <t>Wet tons</t>
  </si>
  <si>
    <t>Dry tons</t>
  </si>
  <si>
    <t>Food waste (lbs/week)</t>
  </si>
  <si>
    <t>Considering 1 ton of food waste has 85% water</t>
  </si>
  <si>
    <t>Food waste (tons/week)</t>
  </si>
  <si>
    <t>Food waste (tons/day)</t>
  </si>
  <si>
    <t>ton BOD/day</t>
  </si>
  <si>
    <t>kwh/ton BOD</t>
  </si>
  <si>
    <t xml:space="preserve">kwh/day </t>
  </si>
  <si>
    <t>annual aeration elec cost</t>
  </si>
  <si>
    <t>Method 1</t>
  </si>
  <si>
    <t>(range 500 -5000)</t>
  </si>
  <si>
    <t>Conversion factor</t>
  </si>
  <si>
    <t>Methane Production potential for food waste (m3/ton)</t>
  </si>
  <si>
    <t>Based on EPA data</t>
  </si>
  <si>
    <t xml:space="preserve">1 m3 </t>
  </si>
  <si>
    <t>35.314 ft3</t>
  </si>
  <si>
    <t>Total methane production potential (m3/day)</t>
  </si>
  <si>
    <t>Total methane production potential (cf/day)</t>
  </si>
  <si>
    <t>kwh/day  (w/ loss)</t>
  </si>
  <si>
    <t>MMBTU/day</t>
  </si>
  <si>
    <t>Total methane production potential (cf/h)</t>
  </si>
  <si>
    <t>MWh/day</t>
  </si>
  <si>
    <t>MMBTU/year</t>
  </si>
  <si>
    <t>Total methane production potential (kWH)</t>
  </si>
  <si>
    <t>1 MMBtu</t>
  </si>
  <si>
    <t>RINs</t>
  </si>
  <si>
    <t>Total methane production potential (kWH/yr)</t>
  </si>
  <si>
    <t>RINs/year</t>
  </si>
  <si>
    <t>Additional electricity potential for WWTP</t>
  </si>
  <si>
    <t>Heat Value</t>
  </si>
  <si>
    <t>RECs</t>
  </si>
  <si>
    <t>Additional Cost savings from electricity for WWTP ($/year)</t>
  </si>
  <si>
    <t>Data from Thurman</t>
  </si>
  <si>
    <t>Assumptions</t>
  </si>
  <si>
    <t>Total food waste (lbs/week)</t>
  </si>
  <si>
    <t>1 meal</t>
  </si>
  <si>
    <t>1/3rd lbs food waste (pre and post)</t>
  </si>
  <si>
    <t>Ikenberry is the biggest dining hall and it contributes to almost 50% of the total food waste</t>
  </si>
  <si>
    <t>1 bucket</t>
  </si>
  <si>
    <t>30 lbs food waste</t>
  </si>
  <si>
    <t>Rest of the food waste (lbs/week)</t>
  </si>
  <si>
    <t>1 cycle = 5 minutes</t>
  </si>
  <si>
    <t>processes 2 buckets</t>
  </si>
  <si>
    <t>Remaining number of dining halls and the housing stores</t>
  </si>
  <si>
    <t>2 buckets</t>
  </si>
  <si>
    <t>60 lbs food waste</t>
  </si>
  <si>
    <t>Average food waste (lbs/week)</t>
  </si>
  <si>
    <t>200 meals</t>
  </si>
  <si>
    <t>number of meals served</t>
  </si>
  <si>
    <t>Number of buckets processed every 5 minutes</t>
  </si>
  <si>
    <t>gallons of water (per minute)</t>
  </si>
  <si>
    <t>Population at each Resident/Dining Hall</t>
  </si>
  <si>
    <t>5 minutes</t>
  </si>
  <si>
    <t>Busey-Evans</t>
  </si>
  <si>
    <t>Allen Hall + LAR</t>
  </si>
  <si>
    <t>FAR</t>
  </si>
  <si>
    <t>Ikenberry</t>
  </si>
  <si>
    <t>ISR</t>
  </si>
  <si>
    <t>PAR</t>
  </si>
  <si>
    <t>Food waste based on population</t>
  </si>
  <si>
    <t>lbs/week</t>
  </si>
  <si>
    <t>tons/wk</t>
  </si>
  <si>
    <t>tons/day</t>
  </si>
  <si>
    <t>Dumpster capacity (tons)</t>
  </si>
  <si>
    <t>frequency (days)</t>
  </si>
  <si>
    <t>Dumpster</t>
  </si>
  <si>
    <t>Waste in gallon (per week)</t>
  </si>
  <si>
    <t>Waste after Insinkerator Pulper</t>
  </si>
  <si>
    <t>Capacity of 1 bin</t>
  </si>
  <si>
    <t>No. of bins needed</t>
  </si>
  <si>
    <t>2.5 cy</t>
  </si>
  <si>
    <t>6 cy</t>
  </si>
  <si>
    <t>18 cy</t>
  </si>
  <si>
    <t>Total</t>
  </si>
  <si>
    <t>LCFS calculation for UofI Food Waste</t>
  </si>
  <si>
    <t>1 therm</t>
  </si>
  <si>
    <t>MT CO2</t>
  </si>
  <si>
    <t>MMBtu CH4</t>
  </si>
  <si>
    <t>LCFS @ $100/MT CO2e</t>
  </si>
  <si>
    <t>Based on theoretical values</t>
  </si>
  <si>
    <t>Based on data from Alton Report</t>
  </si>
  <si>
    <t>Alton Report Reverse Engineer</t>
  </si>
  <si>
    <t>Alton Report</t>
  </si>
  <si>
    <t>1MMBTU</t>
  </si>
  <si>
    <t>RINs sales</t>
  </si>
  <si>
    <t>58% of total project revenue</t>
  </si>
  <si>
    <t>RINs per day</t>
  </si>
  <si>
    <t>LCFS sales</t>
  </si>
  <si>
    <t>12 % of the total project revenue</t>
  </si>
  <si>
    <t>RINs per yr</t>
  </si>
  <si>
    <t>Total project revenue</t>
  </si>
  <si>
    <t>$2/RIN</t>
  </si>
  <si>
    <t>1 Therm</t>
  </si>
  <si>
    <t>MMBTU</t>
  </si>
  <si>
    <t>8000 Therm</t>
  </si>
  <si>
    <t>LCFS/RINS%</t>
  </si>
  <si>
    <t>MT CO2 per day</t>
  </si>
  <si>
    <t>MT CO2 per year</t>
  </si>
  <si>
    <t>RNG  Gas Sales</t>
  </si>
  <si>
    <t>LCFS $100/MT CO2 eq</t>
  </si>
  <si>
    <t>LCFS/RINs%</t>
  </si>
  <si>
    <t>For Food waste from 6 Dining Halls</t>
  </si>
  <si>
    <t>RINs/year @ $2/RIN</t>
  </si>
  <si>
    <t>Electricity value</t>
  </si>
  <si>
    <t>Maintenance (Electricity Generators)</t>
  </si>
  <si>
    <t>RNG sales value: based on Alton report</t>
  </si>
  <si>
    <t>Alton Report: Reverse Engineer</t>
  </si>
  <si>
    <t>Biofuel MMBTU (per year)</t>
  </si>
  <si>
    <t>MMBTU per day</t>
  </si>
  <si>
    <t>Conversion efficiency</t>
  </si>
  <si>
    <t>MMBTU per year</t>
  </si>
  <si>
    <t>Natural Gas Price</t>
  </si>
  <si>
    <t>RNG sales</t>
  </si>
  <si>
    <t>RNG Sales</t>
  </si>
  <si>
    <t>Unit</t>
  </si>
  <si>
    <t>installation</t>
  </si>
  <si>
    <t>Low</t>
  </si>
  <si>
    <t>Medium</t>
  </si>
  <si>
    <t>High</t>
  </si>
  <si>
    <t>Ike</t>
  </si>
  <si>
    <t>LAR</t>
  </si>
  <si>
    <t>Capital Cost Total</t>
  </si>
  <si>
    <t>Aerobic Digestion</t>
  </si>
  <si>
    <t>Electricity charge</t>
  </si>
  <si>
    <t>WW charge</t>
  </si>
  <si>
    <t>Freshwater charge</t>
  </si>
  <si>
    <t>Biomix</t>
  </si>
  <si>
    <t>EnviroPure Presentation: ISR</t>
  </si>
  <si>
    <t>6 units</t>
  </si>
  <si>
    <t>Collection (Close Dumpster)</t>
  </si>
  <si>
    <r>
      <t xml:space="preserve">Emerson Electric Company rep said &lt;$100/year per equipment. Assuming error = </t>
    </r>
    <r>
      <rPr>
        <sz val="11"/>
        <color theme="1"/>
        <rFont val="Calibri"/>
        <family val="2"/>
      </rPr>
      <t>±</t>
    </r>
    <r>
      <rPr>
        <sz val="10.45"/>
        <color theme="1"/>
        <rFont val="Calibri"/>
        <family val="2"/>
      </rPr>
      <t>10%</t>
    </r>
  </si>
  <si>
    <t>Hauling fee</t>
  </si>
  <si>
    <t>Tipping fee</t>
  </si>
  <si>
    <t>$0.09/gal or $21.53/wet ton. 85% water removal.  Error = ±10%</t>
  </si>
  <si>
    <t>Maintenance Fee</t>
  </si>
  <si>
    <t>Value</t>
  </si>
  <si>
    <t>Assuming $1.5/MWh electricity generated.  Error = ±10%</t>
  </si>
  <si>
    <t>Heating Value</t>
  </si>
  <si>
    <t>Based on information provided by UCSD.  Error = ±10%</t>
  </si>
  <si>
    <t>Electricity Value</t>
  </si>
  <si>
    <t>Maintenance (Electricity gen)</t>
  </si>
  <si>
    <t>Total RECs Value</t>
  </si>
  <si>
    <t>RNG Value</t>
  </si>
  <si>
    <t>LCFS</t>
  </si>
  <si>
    <t>Low: $50/MTCO2e; Med: $100/MT CO2e; High: $150/MT CO2e</t>
  </si>
  <si>
    <t>Upgradation cost</t>
  </si>
  <si>
    <t>Net RIN value</t>
  </si>
  <si>
    <t>Collection (Blue bin)</t>
  </si>
  <si>
    <r>
      <t xml:space="preserve">Emerson Electric Company rep said &lt;$100/year. Assuming error = </t>
    </r>
    <r>
      <rPr>
        <sz val="11"/>
        <color theme="1"/>
        <rFont val="Calibri"/>
        <family val="2"/>
      </rPr>
      <t>±</t>
    </r>
    <r>
      <rPr>
        <sz val="10.45"/>
        <color theme="1"/>
        <rFont val="Calibri"/>
        <family val="2"/>
      </rPr>
      <t>10%</t>
    </r>
  </si>
  <si>
    <t>Carbon Offsets</t>
  </si>
  <si>
    <t>RECs ($1.5/MWh)</t>
  </si>
  <si>
    <t>Somat Pulper Presentation: for all dining halls</t>
  </si>
  <si>
    <r>
      <t xml:space="preserve">Assuming same electricity usage as Insinkerator Waste Xpress. Assuming error = </t>
    </r>
    <r>
      <rPr>
        <sz val="11"/>
        <color theme="1"/>
        <rFont val="Calibri"/>
        <family val="2"/>
      </rPr>
      <t>±</t>
    </r>
    <r>
      <rPr>
        <sz val="10.45"/>
        <color theme="1"/>
        <rFont val="Calibri"/>
        <family val="2"/>
      </rPr>
      <t>10%</t>
    </r>
  </si>
  <si>
    <t>Water recycling. 2 gpm, 32 wks. $3.35/kgal sanitary fee. Error = ±10%</t>
  </si>
  <si>
    <t>Water recycling. 2 gpm, 32 wks. $4.18/kgal freshwater fee. Error = ±10%</t>
  </si>
  <si>
    <t>Somat Pulper Presentation: ISR</t>
  </si>
  <si>
    <t>Labor cost</t>
  </si>
  <si>
    <t>Total water</t>
  </si>
  <si>
    <t>Maintenance cost per EnviroPure equipment (annually)</t>
  </si>
  <si>
    <r>
      <t xml:space="preserve">Data from Thurman. Error = </t>
    </r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>10%</t>
    </r>
  </si>
  <si>
    <t>Average unit + installation cost for each EnviroPure system</t>
  </si>
  <si>
    <r>
      <t xml:space="preserve">Assuming maintenance cost is same as EnviroPure. Data from Thurman. Error = </t>
    </r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>10%</t>
    </r>
  </si>
  <si>
    <t>Unit + Installation cost</t>
  </si>
  <si>
    <t>Food waste (in lbs/week)</t>
  </si>
  <si>
    <t>Food waste (in tons/week)</t>
  </si>
  <si>
    <t>Fresh Water added (2 gpm; in gallons)</t>
  </si>
  <si>
    <t>Fresh Water added (2 gpm; in tons)</t>
  </si>
  <si>
    <t>Volume reduction</t>
  </si>
  <si>
    <t>Tri-Cycle Pulper (Insinkerator) Presentation: for all dining halls</t>
  </si>
  <si>
    <t>Tri-Cycle Pulper (Insinkerator) Presentation: ISR</t>
  </si>
  <si>
    <t>Volume after dewatering (tons/week)</t>
  </si>
  <si>
    <t>Volume before dewatering (tons/week)</t>
  </si>
  <si>
    <t>Solid content</t>
  </si>
  <si>
    <t>Water Content</t>
  </si>
  <si>
    <t>Solid in Food Waste (in tons)</t>
  </si>
  <si>
    <t>Solid concentration before dewatering</t>
  </si>
  <si>
    <t>Solid content after dewatering (in tons)</t>
  </si>
  <si>
    <t>Solid content after dewatering (in %)</t>
  </si>
  <si>
    <t>Food waste for all dining halls</t>
  </si>
  <si>
    <t>Food waste for ISR</t>
  </si>
  <si>
    <t>Installation</t>
  </si>
  <si>
    <t>Operating Cost</t>
  </si>
  <si>
    <t>Total Annual Cost</t>
  </si>
  <si>
    <t>Annual Capital Cost + Annual Operating Cost</t>
  </si>
  <si>
    <t>Annual Operating Cost</t>
  </si>
  <si>
    <t>Insinkerator Waste Xpress Presentation: for all dining halls</t>
  </si>
  <si>
    <t>Insinkerator Waste Xpress Presentation: ISR</t>
  </si>
  <si>
    <t>Annual Electricity and RECs Value</t>
  </si>
  <si>
    <t>Net value</t>
  </si>
  <si>
    <t>Renewable credit sales</t>
  </si>
  <si>
    <t>Total Renwable Credit Sales Value</t>
  </si>
  <si>
    <t>Option 1</t>
  </si>
  <si>
    <t>Option 2</t>
  </si>
  <si>
    <t>Total Renewable Credit Sales Value</t>
  </si>
  <si>
    <t>Water recycling. 2 gpm, 32 wks.  $3.35/kgal sanitary fee. Error = ±10%</t>
  </si>
  <si>
    <t>Net Value</t>
  </si>
  <si>
    <t>Net RNG and Credit sales value</t>
  </si>
  <si>
    <t xml:space="preserve">Proportioned. Equipment Cost = $1M, Ammortized 3%. 10 years </t>
  </si>
  <si>
    <t>Earlier Assumptions; Not used in the Calculation</t>
  </si>
  <si>
    <t>20 barrels a year. 1 barrel = $1250. Error = ±10%</t>
  </si>
  <si>
    <t>Estimate based on average WWTP aerobic treatment. Low: -100% (highly optimized), Med: +0%, High: +100% (poorly optimized)</t>
  </si>
  <si>
    <t>EnviroPure uses 0.32kwh/hr. 6 systems, 32 weeks, $0.0782/kwh. Error = ±10%</t>
  </si>
  <si>
    <t>6 units. Average Unit + Installation cost = $45,000. Capacity 600lbs/24 hr-1500lbs/24 hr. Data from Thurman. Error = ±10%</t>
  </si>
  <si>
    <t>Average Unit + Installation cost = $45,000. Data from Thurman. Error = ±10%</t>
  </si>
  <si>
    <t>Based on number of meals served. 1 barrel = $1250. Error = ±10%</t>
  </si>
  <si>
    <t>60 lbs bucket takes 5 minutes of grinding. 5 gpm freshwater supply. Based on meals served. Fresh water fee = $4.18/kgal. Error = ±10%</t>
  </si>
  <si>
    <t>6 systems. 60 lbs bucket takes 5 minutes of grinding. 5 gpm freshwater supply. Based on meals served. Fresh water fee = $4.18/kgal. Error = ±10%</t>
  </si>
  <si>
    <r>
      <t xml:space="preserve">Data from Thurman. Error = </t>
    </r>
    <r>
      <rPr>
        <sz val="11"/>
        <rFont val="Calibri"/>
        <family val="2"/>
      </rPr>
      <t>±</t>
    </r>
    <r>
      <rPr>
        <sz val="11"/>
        <rFont val="Calibri"/>
        <family val="2"/>
        <scheme val="minor"/>
      </rPr>
      <t>10%</t>
    </r>
  </si>
  <si>
    <t>Volume reduction (= 8 to 1)</t>
  </si>
  <si>
    <t>Fresh Water added (7.5 gpm; in gallons)</t>
  </si>
  <si>
    <t>Fresh Water added (7.5 gpm; in tons)</t>
  </si>
  <si>
    <t>7.5 gpm, 32 wks. $3.35/kgal sanitary fee. Based on number of meals served. Error = ±10%</t>
  </si>
  <si>
    <t>7.5 gpm, 32 wks. $4.18/kgal freshwater fee. Based on number of meals served. Error = ±10%</t>
  </si>
  <si>
    <t>Waste after Somat Pulper</t>
  </si>
  <si>
    <t>Somat Pulper</t>
  </si>
  <si>
    <t>Food waste in (tons/wk)</t>
  </si>
  <si>
    <t>Food waste out (tons/wk)</t>
  </si>
  <si>
    <t>Outflow volume (in %)</t>
  </si>
  <si>
    <t>No. of bins needed (per week)</t>
  </si>
  <si>
    <t>Waste after Insinkerator Tri-Cycle Pulper Unit</t>
  </si>
  <si>
    <t>Tri Cycle Pulper Unit</t>
  </si>
  <si>
    <t>Housing Store</t>
  </si>
  <si>
    <t>20% of the Credit Sales. Error = ±10%</t>
  </si>
  <si>
    <t>Gas upgradation Equipment/MMBTU</t>
  </si>
  <si>
    <t>Gas upgradation Proportion</t>
  </si>
  <si>
    <t>Gas upgradation Equipment/RNG Sales</t>
  </si>
  <si>
    <t>Gas upgradation Equipment Cost</t>
  </si>
  <si>
    <t>Annualized Gas upgradation Equipment (3% for 10 years)</t>
  </si>
  <si>
    <t>Grind2Energy (Insinkerator) Presentation: for all dining halls</t>
  </si>
  <si>
    <t>Starting cost for one unit (cost) = $59,950. Includes installation. 6 units.</t>
  </si>
  <si>
    <t>Low = total unit cost, Medium = Total * 1.1 (10% more); High = Total * 1.2 (20% more)</t>
  </si>
  <si>
    <t>Solid concentration</t>
  </si>
  <si>
    <t>Volume (tons/week)</t>
  </si>
  <si>
    <t>The slurry goes to the tank. Little to no water down the drain.</t>
  </si>
  <si>
    <t>Their website says 1-2 gpm. Low = 1 gpm, Med = 2 gpm, High = 3 gpm</t>
  </si>
  <si>
    <t>Volume (gallons/week)</t>
  </si>
  <si>
    <t xml:space="preserve">Starting cost for one unit (cost) = $59,950. Includes installation. </t>
  </si>
  <si>
    <t>Food waste for Ikenberry</t>
  </si>
  <si>
    <t>Tri-Cycle Pulper (Insinkerator) Presentation: Ikenberry</t>
  </si>
  <si>
    <t>Total Annual Capital Cost</t>
  </si>
  <si>
    <t>Interest rate</t>
  </si>
  <si>
    <t>Annual Interest rate. - Assumption based on data from Morgan White</t>
  </si>
  <si>
    <t>Assumption based on data from Insinkerator sales rep.</t>
  </si>
  <si>
    <t>Life of equipment (in years)</t>
  </si>
  <si>
    <t>Discount Factor</t>
  </si>
  <si>
    <t>Yearly amortized cost at 3% interest for 15 years. Annual cost = Total/Discount Factor</t>
  </si>
  <si>
    <t>Unit + Installation</t>
  </si>
  <si>
    <t>Assumption based on data from Somat sales rep.</t>
  </si>
  <si>
    <t>Tanks included in unit cost. Prices may vary based on the size of tank. Options: 3000, 3600, 4200, 5000 gallons</t>
  </si>
  <si>
    <t>One unit cost = $25,000. 6 units</t>
  </si>
  <si>
    <t>Fresh Water added (3 gpm; in gallons)</t>
  </si>
  <si>
    <t>Fresh Water added (3 gpm; in tons)</t>
  </si>
  <si>
    <t>3 gpm, 32 wks. $3.35/kgal sanitary fee. Error = ±10%</t>
  </si>
  <si>
    <t>3 gpm, 32 wks. $4.18/kgal freshwater fee. Error = ±10%</t>
  </si>
  <si>
    <t>Food waste in gallons</t>
  </si>
  <si>
    <t xml:space="preserve">Based on hauling charge for tanker trucks from SWP. Data from UCSD. Assuming 3 gpm water inflow. Low: $20/kgal, Med: $30/kgal, High: $40/kgal </t>
  </si>
  <si>
    <t>(3gpm option)</t>
  </si>
  <si>
    <t>Grind2Energy (Insinkerator) Presentation: Ikenberry</t>
  </si>
  <si>
    <t>Grind2Energy (Insinkerator) Presentation: ISR</t>
  </si>
  <si>
    <t>IOT fee</t>
  </si>
  <si>
    <t>Alternative Hauling fee</t>
  </si>
  <si>
    <t>Alternative hauling fee. External haulers. $15/ton. 1 trip a week.  Error = ±10%</t>
  </si>
  <si>
    <t>32 gallon blue recycling bins. Assuming $80 ea</t>
  </si>
  <si>
    <t>$50/hour for F&amp;S drivers, half a day per week 3 trip per week, 32 weeks. Low: 3hrs, high: 6 hrs</t>
  </si>
  <si>
    <t>Construction at UCSD for Solid waste</t>
  </si>
  <si>
    <t>installation/total construction</t>
  </si>
  <si>
    <t>$50/hr. 3 trips per week, 1 hour per trip. 32 weeks. Error = ±10%</t>
  </si>
  <si>
    <t>Labor cost @ UCSD</t>
  </si>
  <si>
    <t>To decant the bins. $50/hr. 3 trips per week, 1 hour per trip. 32 weeks. Error = ±10%</t>
  </si>
  <si>
    <t>Data from Insinkerator Sales Rep. Low: 1.5 kWh, Med: 2.0 kWh, High: 2.1 kWh. Runs 5 hrs/day. 32 wks</t>
  </si>
  <si>
    <t>$50/hour for F&amp;S drivers, half a day per week 3 trips per week, 32 weeks. Low: 3hrs, high: 6 hrs</t>
  </si>
  <si>
    <t>32 gallon blue recycling bins. 59 in total. $80 ea</t>
  </si>
  <si>
    <t>32 gallon blue recycling bins. 8 in total. $80 ea</t>
  </si>
  <si>
    <t>No Pulper/Grinder</t>
  </si>
  <si>
    <t>Waste after No Grinder/Pulper</t>
  </si>
  <si>
    <t>Labor cost @ UofI</t>
  </si>
  <si>
    <t>Low: $12/hour, Med: $15/hour, High: $20/hour. 2 hours a day, 32 weeks.</t>
  </si>
  <si>
    <t>lbs per day</t>
  </si>
  <si>
    <t>Waste after Insinkerator Pulper (per day)</t>
  </si>
  <si>
    <t>No. of bins needed (per day)</t>
  </si>
  <si>
    <t>Waste after Somat Pulper (per day)</t>
  </si>
  <si>
    <t>Waste after Insinkerator Tri-Cycle Pulper Unit (per day)</t>
  </si>
  <si>
    <t>Waste after No Grinder/Pulper (per day)</t>
  </si>
  <si>
    <t>Capacity of 1 bin (32 gal, 100 lbs)</t>
  </si>
  <si>
    <t>Total for a week (hauled 3 times)</t>
  </si>
  <si>
    <t>Insinkerator Waste Xpress Pulper reduces volume by 18.5%</t>
  </si>
  <si>
    <t>total revenue</t>
  </si>
  <si>
    <t>net profit</t>
  </si>
  <si>
    <t>RINs + LCFS</t>
  </si>
  <si>
    <t>marketing fee</t>
  </si>
  <si>
    <t>marketing %</t>
  </si>
  <si>
    <t>net credit sales</t>
  </si>
  <si>
    <t>expenditure (O&amp;M + Marketing fee)</t>
  </si>
  <si>
    <t>MMBTU plant</t>
  </si>
  <si>
    <t>O&amp;M cost</t>
  </si>
  <si>
    <t>expenditure (O&amp;M only)</t>
  </si>
  <si>
    <t>Optional: Internet of Things (IoT) monthly charge $129. Not recommended</t>
  </si>
  <si>
    <t>Optional: Internet of Things (IoT) monthly charge $129. Not recommended.</t>
  </si>
  <si>
    <t xml:space="preserve">GGE </t>
  </si>
  <si>
    <t>7.74 GGE</t>
  </si>
  <si>
    <t>1 MMBTU Natural Gas</t>
  </si>
  <si>
    <t>RNG Marketing cost</t>
  </si>
  <si>
    <t>Based on Alton (EcoEngineer) Report. Error = ±10%</t>
  </si>
  <si>
    <t>For RNG Generation</t>
  </si>
  <si>
    <t>cf/day biogas</t>
  </si>
  <si>
    <t>1 cf biogas</t>
  </si>
  <si>
    <t>900 BTU GGE</t>
  </si>
  <si>
    <t>Biogas GGE per day (in BTU)</t>
  </si>
  <si>
    <t>Biogas GGE per year (in BTU)</t>
  </si>
  <si>
    <t>Biogas GGE per year (in MMBTU)</t>
  </si>
  <si>
    <t>Methane %</t>
  </si>
  <si>
    <t>Biofuel GGE per year (in MMBTU)</t>
  </si>
  <si>
    <t>413 MMBtu</t>
  </si>
  <si>
    <t>RNG = $3/MMBTU. Error = ±10%</t>
  </si>
  <si>
    <t>RNG</t>
  </si>
  <si>
    <t>per GGE (or $3/MMBTU)</t>
  </si>
  <si>
    <t>Electricity generation (energy lost = 66%)</t>
  </si>
  <si>
    <t>Connection charge</t>
  </si>
  <si>
    <t>Low: $0.04/gal; Med: $0.09/gal; High: $0.11/gal. 3gpm water added. 32 wks</t>
  </si>
  <si>
    <t>Natural Gas price ($/MMBTU)</t>
  </si>
  <si>
    <t>EnviroPure Presentation: For all 6 locations with higher sewer charge but no connection fee</t>
  </si>
  <si>
    <t>6 systems. 60 lbs bucket takes 5 minutes of grinding. 5 gpm freshwater supply. Based on meals served. Higher Sanitary fee = $25/kgal. Error = ±10%</t>
  </si>
  <si>
    <t>Water (in gallons) needed during grinding</t>
  </si>
  <si>
    <t>6 units. Average Unit + Installation cost = $45,000. Capacity 600lbs/24 hr-1500lbs/24 hr. Data from Thurman.</t>
  </si>
  <si>
    <t>Unit + Installation.  Error = ±10%</t>
  </si>
  <si>
    <t>Total Population</t>
  </si>
  <si>
    <t>No connection fee</t>
  </si>
  <si>
    <t>60 lbs bucket takes 5 minutes of grinding. 5 gpm freshwater supply. Based on meals served. Higher Sanitary fee = $25/kgal. Error = ±10%</t>
  </si>
  <si>
    <t>EnviroPure Presentation: For all 6 locations with connection fee, and higher sewer charge</t>
  </si>
  <si>
    <t>UCSD connection fee. Data from Colleen Ruhter. Low: $800k, Med: $1M, High: $1.5M</t>
  </si>
  <si>
    <t>UCSD connection fee. Data from Colleen. Based on population.</t>
  </si>
  <si>
    <t>Low: $0.75/RIN; Med: $2/RIN; High: $2.75/RIN</t>
  </si>
  <si>
    <t>No Pulper/Grinder Presentation: for Busey Evans</t>
  </si>
  <si>
    <t>Food waste for Busey Evans</t>
  </si>
  <si>
    <t>Grind2Energy (Insinkerator) Presentation: Busey Evans</t>
  </si>
  <si>
    <t>Busey Evans</t>
  </si>
  <si>
    <t>Tri-Cycle Pulper (Insinkerator) Presentation: Busey Evans</t>
  </si>
  <si>
    <t>Current 1</t>
  </si>
  <si>
    <t>Current 2</t>
  </si>
  <si>
    <t>Grinder: Grind2Energy</t>
  </si>
  <si>
    <t>Pulper 1: Tri-Cycle Unit</t>
  </si>
  <si>
    <t>Pulper 2: Waste Xpress</t>
  </si>
  <si>
    <t>Pulper 3: Somat</t>
  </si>
  <si>
    <t>Cap Cost (Equipment, Bins &amp; Construction)</t>
  </si>
  <si>
    <t>$1.27M</t>
  </si>
  <si>
    <t>Annualized Capital Cost (Amortized)</t>
  </si>
  <si>
    <t>$ -</t>
  </si>
  <si>
    <t xml:space="preserve">$ - </t>
  </si>
  <si>
    <t>Electricity Aerobic Digestion</t>
  </si>
  <si>
    <t>UCSD Delivered Waste Fee</t>
  </si>
  <si>
    <t>Hauling</t>
  </si>
  <si>
    <t>Labor (at UofI and UCSD)</t>
  </si>
  <si>
    <t>Electricity</t>
  </si>
  <si>
    <t>Freshwater</t>
  </si>
  <si>
    <t>Sewer</t>
  </si>
  <si>
    <t>IoT fee (Not Recommended)</t>
  </si>
  <si>
    <t>Food waste Total (lbs/week)</t>
  </si>
  <si>
    <t>Water added (in Gallons at 5gpm)</t>
  </si>
  <si>
    <t>Food waste Calculator (Busey Evans)</t>
  </si>
  <si>
    <t>No. of bins needed (per week; hauling 3 times a week)</t>
  </si>
  <si>
    <t>Food waste (in lbs/day)</t>
  </si>
  <si>
    <t>(Assumption) Capacity of a 32 gallon bin (in lbs)</t>
  </si>
  <si>
    <t>Slurry</t>
  </si>
  <si>
    <t>Pulped</t>
  </si>
  <si>
    <t>Current</t>
  </si>
  <si>
    <t>Capital Cost (Equipment, Collection bins and construction)</t>
  </si>
  <si>
    <t>Annual Capital Cost (Amortized)</t>
  </si>
  <si>
    <t>Electricity Aerobic Treatment</t>
  </si>
  <si>
    <t>UCSD Delivered Waste</t>
  </si>
  <si>
    <t>Labor Cost (at UofI + UCSD)</t>
  </si>
  <si>
    <t>Sewer Discharge</t>
  </si>
  <si>
    <t xml:space="preserve">Starting cost for one unit (cost) = $59,950. Includes installation and Collection tank. </t>
  </si>
  <si>
    <t>Construction @ UCSD</t>
  </si>
  <si>
    <t xml:space="preserve">32 gallon bins. $80 ea. 50 bins needed. </t>
  </si>
  <si>
    <t>Based on hauling charge for tanker trucks from SWP. Data from UCSD. Assuming 3 gpm water inflow. Low: $20/kgal, Med: $30/kgal, High: $40/kgal</t>
  </si>
  <si>
    <t>Hauling fee Grind2Energy</t>
  </si>
  <si>
    <t>Hauling fee Off-site Grinder</t>
  </si>
  <si>
    <t>Tipping fee Grind2Energy</t>
  </si>
  <si>
    <t>Tipping Fee Off-site Grinder</t>
  </si>
  <si>
    <t>Grind2Energy systems cap cost</t>
  </si>
  <si>
    <t>No of blue bins</t>
  </si>
  <si>
    <t>Food waste Off site</t>
  </si>
  <si>
    <t>Low: $12/hour, Med: $15/hour, High: $20/hour. 1 hour/day, 32 weeks.</t>
  </si>
  <si>
    <t>Freshwater added</t>
  </si>
  <si>
    <t>G2E</t>
  </si>
  <si>
    <t>Total Volume (G2E)</t>
  </si>
  <si>
    <t>Freshwater Added</t>
  </si>
  <si>
    <t>Their website says 1-2 gpm. Assuming 3 gpm. Error = ±10%</t>
  </si>
  <si>
    <t>Total Volume</t>
  </si>
  <si>
    <t>Optimized data</t>
  </si>
  <si>
    <t>Low: $12/hour, Med: $15/hour, High: $20/hour. 1 hours a day, 32 weeks.</t>
  </si>
  <si>
    <t>Number of bins needed</t>
  </si>
  <si>
    <t>Off-Site</t>
  </si>
  <si>
    <t>Off site Grinder Presentation: for all dining halls</t>
  </si>
  <si>
    <t>Off siteGrinder Presentation: for ISR</t>
  </si>
  <si>
    <t>Low: $12/hour, Med: $15/hour, High: $20/hour. If number of bins/dining hall =6 or less/day, 1 hour per day. Otherwise 2 hrs/day., 32 weeks.</t>
  </si>
  <si>
    <t>Assuming 1 trailor truck can carry 50 bins at a time. $50/hour for F&amp;S drivers, half a day per week 3 trip per week, 32 weeks. Low: 3hrs, high: 6 hrs</t>
  </si>
  <si>
    <t>Off-site Grinder</t>
  </si>
  <si>
    <t>Off-siteGrinder</t>
  </si>
  <si>
    <t xml:space="preserve">No. of Grind2Energy </t>
  </si>
  <si>
    <t>No. of Dining Halls for Off-site grinder</t>
  </si>
  <si>
    <t>Labor cost @ UofI (Student labor or Ac Hourly)</t>
  </si>
  <si>
    <t>Optimized Data Sheet: Pick the number of Grind2Energy equipment from the drop-down list. The data and the chart will be generated based on that selection.</t>
  </si>
  <si>
    <t>Food Waste Off-site (in tons</t>
  </si>
  <si>
    <t>no. of bins needed</t>
  </si>
  <si>
    <t>Waste (tons/week) processed by G2E</t>
  </si>
  <si>
    <t>Total Food Waste (in tons/week)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</si>
</sst>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0_);[Red]\(&quot;$&quot;#,##0.000\)"/>
    <numFmt numFmtId="166" formatCode="&quot;$&quot;#,##0.00"/>
    <numFmt numFmtId="167" formatCode="0.0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0.45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131F33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131F33"/>
      <name val="Calibri"/>
      <family val="2"/>
      <scheme val="minor"/>
    </font>
    <font>
      <sz val="12"/>
      <color rgb="FF0E1726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31F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21E32"/>
      </left>
      <right/>
      <top style="thin">
        <color rgb="FF121E32"/>
      </top>
      <bottom style="thin">
        <color rgb="FF121E32"/>
      </bottom>
      <diagonal/>
    </border>
    <border>
      <left/>
      <right/>
      <top style="thin">
        <color rgb="FF121E32"/>
      </top>
      <bottom style="thin">
        <color rgb="FF121E32"/>
      </bottom>
      <diagonal/>
    </border>
    <border>
      <left/>
      <right style="thin">
        <color rgb="FF121E32"/>
      </right>
      <top style="thin">
        <color rgb="FF121E32"/>
      </top>
      <bottom style="thin">
        <color rgb="FF121E3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0" fillId="0" borderId="2" xfId="2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0" fillId="3" borderId="0" xfId="2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10" fontId="2" fillId="0" borderId="2" xfId="3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44" fontId="0" fillId="2" borderId="0" xfId="2" applyFont="1" applyFill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9" fontId="0" fillId="0" borderId="0" xfId="3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0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9" fontId="0" fillId="0" borderId="0" xfId="3" applyFont="1"/>
    <xf numFmtId="1" fontId="0" fillId="0" borderId="0" xfId="0" applyNumberFormat="1"/>
    <xf numFmtId="2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2" fillId="0" borderId="6" xfId="0" applyFont="1" applyBorder="1"/>
    <xf numFmtId="44" fontId="2" fillId="0" borderId="2" xfId="2" applyFont="1" applyBorder="1"/>
    <xf numFmtId="44" fontId="2" fillId="0" borderId="2" xfId="0" applyNumberFormat="1" applyFont="1" applyBorder="1"/>
    <xf numFmtId="167" fontId="2" fillId="0" borderId="2" xfId="2" applyNumberFormat="1" applyFont="1" applyBorder="1"/>
    <xf numFmtId="9" fontId="2" fillId="0" borderId="2" xfId="3" applyFont="1" applyBorder="1"/>
    <xf numFmtId="0" fontId="0" fillId="0" borderId="2" xfId="0" applyBorder="1"/>
    <xf numFmtId="43" fontId="0" fillId="0" borderId="2" xfId="0" applyNumberFormat="1" applyBorder="1"/>
    <xf numFmtId="2" fontId="0" fillId="0" borderId="2" xfId="3" applyNumberFormat="1" applyFont="1" applyBorder="1"/>
    <xf numFmtId="0" fontId="0" fillId="0" borderId="3" xfId="0" applyBorder="1"/>
    <xf numFmtId="2" fontId="2" fillId="0" borderId="2" xfId="0" applyNumberFormat="1" applyFont="1" applyBorder="1"/>
    <xf numFmtId="9" fontId="0" fillId="0" borderId="2" xfId="0" applyNumberFormat="1" applyBorder="1"/>
    <xf numFmtId="44" fontId="0" fillId="0" borderId="2" xfId="2" applyFont="1" applyBorder="1"/>
    <xf numFmtId="44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horizontal="left" vertical="center" indent="1"/>
    </xf>
    <xf numFmtId="9" fontId="2" fillId="0" borderId="2" xfId="3" applyFont="1" applyBorder="1" applyAlignment="1">
      <alignment horizontal="left" vertical="center" indent="1"/>
    </xf>
    <xf numFmtId="9" fontId="0" fillId="0" borderId="2" xfId="0" applyNumberFormat="1" applyBorder="1" applyAlignment="1">
      <alignment horizontal="left" vertical="center" indent="1"/>
    </xf>
    <xf numFmtId="9" fontId="0" fillId="0" borderId="2" xfId="3" applyFont="1" applyBorder="1" applyAlignment="1">
      <alignment horizontal="left" vertical="center" indent="1"/>
    </xf>
    <xf numFmtId="2" fontId="0" fillId="0" borderId="2" xfId="0" applyNumberFormat="1" applyBorder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0" fillId="0" borderId="0" xfId="0" applyNumberFormat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44" fontId="2" fillId="0" borderId="2" xfId="2" applyFont="1" applyBorder="1" applyAlignment="1">
      <alignment horizontal="left" vertical="center"/>
    </xf>
    <xf numFmtId="44" fontId="0" fillId="0" borderId="2" xfId="2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4" fontId="3" fillId="0" borderId="2" xfId="2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9" fontId="2" fillId="0" borderId="0" xfId="3" applyFont="1" applyBorder="1" applyAlignment="1">
      <alignment horizontal="left" vertical="center" indent="1"/>
    </xf>
    <xf numFmtId="0" fontId="3" fillId="0" borderId="2" xfId="2" applyNumberFormat="1" applyFont="1" applyBorder="1" applyAlignment="1">
      <alignment horizontal="left" vertical="center"/>
    </xf>
    <xf numFmtId="0" fontId="2" fillId="0" borderId="2" xfId="2" applyNumberFormat="1" applyFont="1" applyBorder="1" applyAlignment="1">
      <alignment horizontal="left" vertical="center"/>
    </xf>
    <xf numFmtId="0" fontId="0" fillId="0" borderId="2" xfId="2" applyNumberFormat="1" applyFont="1" applyBorder="1" applyAlignment="1">
      <alignment horizontal="left" vertical="center"/>
    </xf>
    <xf numFmtId="0" fontId="0" fillId="0" borderId="2" xfId="2" applyNumberFormat="1" applyFont="1" applyBorder="1" applyAlignment="1">
      <alignment horizontal="left" vertical="center" indent="1"/>
    </xf>
    <xf numFmtId="0" fontId="2" fillId="0" borderId="2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 indent="1"/>
    </xf>
    <xf numFmtId="0" fontId="2" fillId="0" borderId="2" xfId="0" applyNumberFormat="1" applyFont="1" applyBorder="1" applyAlignment="1">
      <alignment horizontal="left" vertical="center" indent="1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0" fontId="0" fillId="0" borderId="2" xfId="0" applyNumberFormat="1" applyFont="1" applyBorder="1" applyAlignment="1">
      <alignment horizontal="left" vertical="center" indent="1"/>
    </xf>
    <xf numFmtId="0" fontId="0" fillId="0" borderId="2" xfId="0" applyNumberFormat="1" applyFont="1" applyBorder="1" applyAlignment="1">
      <alignment horizontal="left" vertical="center"/>
    </xf>
    <xf numFmtId="0" fontId="2" fillId="0" borderId="7" xfId="2" applyNumberFormat="1" applyFont="1" applyBorder="1" applyAlignment="1">
      <alignment vertical="center"/>
    </xf>
    <xf numFmtId="9" fontId="2" fillId="0" borderId="2" xfId="3" applyFont="1" applyBorder="1" applyAlignment="1">
      <alignment horizontal="left" vertical="center"/>
    </xf>
    <xf numFmtId="44" fontId="0" fillId="0" borderId="2" xfId="0" applyNumberFormat="1" applyBorder="1" applyAlignment="1">
      <alignment horizontal="left" vertical="center"/>
    </xf>
    <xf numFmtId="0" fontId="2" fillId="0" borderId="2" xfId="0" applyNumberFormat="1" applyFont="1" applyBorder="1" applyAlignment="1">
      <alignment horizontal="left"/>
    </xf>
    <xf numFmtId="44" fontId="2" fillId="0" borderId="2" xfId="2" applyFont="1" applyBorder="1" applyAlignment="1">
      <alignment horizontal="left"/>
    </xf>
    <xf numFmtId="44" fontId="0" fillId="0" borderId="2" xfId="2" applyFont="1" applyBorder="1" applyAlignment="1">
      <alignment horizontal="left"/>
    </xf>
    <xf numFmtId="44" fontId="3" fillId="0" borderId="2" xfId="2" applyFont="1" applyBorder="1" applyAlignment="1">
      <alignment horizontal="left"/>
    </xf>
    <xf numFmtId="0" fontId="2" fillId="0" borderId="2" xfId="2" applyNumberFormat="1" applyFont="1" applyBorder="1" applyAlignment="1">
      <alignment horizontal="left"/>
    </xf>
    <xf numFmtId="44" fontId="0" fillId="0" borderId="2" xfId="0" applyNumberFormat="1" applyBorder="1" applyAlignment="1">
      <alignment horizontal="left"/>
    </xf>
    <xf numFmtId="0" fontId="0" fillId="0" borderId="7" xfId="0" applyBorder="1" applyAlignment="1">
      <alignment horizontal="left" vertical="center"/>
    </xf>
    <xf numFmtId="44" fontId="2" fillId="0" borderId="2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 indent="1"/>
    </xf>
    <xf numFmtId="0" fontId="3" fillId="0" borderId="3" xfId="0" applyNumberFormat="1" applyFont="1" applyBorder="1" applyAlignment="1">
      <alignment horizontal="left" vertical="center"/>
    </xf>
    <xf numFmtId="44" fontId="3" fillId="0" borderId="3" xfId="2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2" xfId="0" applyFont="1" applyBorder="1"/>
    <xf numFmtId="44" fontId="10" fillId="0" borderId="2" xfId="2" applyFont="1" applyBorder="1"/>
    <xf numFmtId="44" fontId="11" fillId="0" borderId="2" xfId="2" applyFont="1" applyBorder="1"/>
    <xf numFmtId="0" fontId="12" fillId="0" borderId="2" xfId="0" applyFont="1" applyBorder="1"/>
    <xf numFmtId="44" fontId="12" fillId="0" borderId="2" xfId="2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4" fontId="3" fillId="0" borderId="2" xfId="2" applyFont="1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wrapText="1"/>
    </xf>
    <xf numFmtId="9" fontId="2" fillId="0" borderId="2" xfId="3" applyNumberFormat="1" applyFont="1" applyBorder="1" applyAlignment="1">
      <alignment horizontal="left" vertical="center" indent="1"/>
    </xf>
    <xf numFmtId="168" fontId="0" fillId="0" borderId="2" xfId="0" applyNumberFormat="1" applyBorder="1" applyAlignment="1">
      <alignment horizontal="left" vertical="center" indent="1"/>
    </xf>
    <xf numFmtId="0" fontId="14" fillId="0" borderId="2" xfId="0" applyFont="1" applyBorder="1" applyAlignment="1">
      <alignment vertical="center" wrapText="1"/>
    </xf>
    <xf numFmtId="0" fontId="0" fillId="0" borderId="0" xfId="3" applyNumberFormat="1" applyFont="1"/>
    <xf numFmtId="0" fontId="2" fillId="0" borderId="2" xfId="0" applyFont="1" applyFill="1" applyBorder="1" applyAlignment="1">
      <alignment horizontal="left" indent="1"/>
    </xf>
    <xf numFmtId="44" fontId="0" fillId="0" borderId="2" xfId="2" applyFont="1" applyFill="1" applyBorder="1"/>
    <xf numFmtId="0" fontId="0" fillId="0" borderId="0" xfId="0" applyFill="1"/>
    <xf numFmtId="0" fontId="0" fillId="0" borderId="0" xfId="0" applyNumberFormat="1" applyBorder="1" applyAlignment="1">
      <alignment horizontal="left" vertical="center" indent="1"/>
    </xf>
    <xf numFmtId="9" fontId="0" fillId="0" borderId="0" xfId="3" applyFont="1" applyBorder="1" applyAlignment="1">
      <alignment horizontal="left" vertical="center" indent="1"/>
    </xf>
    <xf numFmtId="2" fontId="2" fillId="0" borderId="2" xfId="0" applyNumberFormat="1" applyFont="1" applyBorder="1" applyAlignment="1">
      <alignment horizontal="left"/>
    </xf>
    <xf numFmtId="2" fontId="0" fillId="0" borderId="2" xfId="0" applyNumberFormat="1" applyBorder="1" applyAlignment="1">
      <alignment horizontal="left"/>
    </xf>
    <xf numFmtId="9" fontId="0" fillId="0" borderId="2" xfId="3" applyFont="1" applyBorder="1" applyAlignment="1">
      <alignment horizontal="left"/>
    </xf>
    <xf numFmtId="9" fontId="2" fillId="0" borderId="2" xfId="2" applyNumberFormat="1" applyFont="1" applyBorder="1" applyAlignment="1">
      <alignment horizontal="left" vertical="center"/>
    </xf>
    <xf numFmtId="9" fontId="0" fillId="0" borderId="2" xfId="2" applyNumberFormat="1" applyFont="1" applyBorder="1" applyAlignment="1">
      <alignment horizontal="left" vertical="center"/>
    </xf>
    <xf numFmtId="1" fontId="2" fillId="0" borderId="2" xfId="2" applyNumberFormat="1" applyFont="1" applyBorder="1" applyAlignment="1">
      <alignment horizontal="left" vertical="center"/>
    </xf>
    <xf numFmtId="1" fontId="0" fillId="0" borderId="2" xfId="2" applyNumberFormat="1" applyFont="1" applyBorder="1" applyAlignment="1">
      <alignment horizontal="left" vertical="center"/>
    </xf>
    <xf numFmtId="0" fontId="0" fillId="0" borderId="0" xfId="2" applyNumberFormat="1" applyFont="1"/>
    <xf numFmtId="0" fontId="0" fillId="0" borderId="0" xfId="0" applyNumberFormat="1"/>
    <xf numFmtId="44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2" xfId="2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0" fillId="0" borderId="2" xfId="0" applyNumberFormat="1" applyBorder="1"/>
    <xf numFmtId="0" fontId="2" fillId="0" borderId="2" xfId="0" applyFont="1" applyBorder="1" applyAlignment="1">
      <alignment horizontal="left" vertical="center" wrapText="1"/>
    </xf>
    <xf numFmtId="0" fontId="2" fillId="0" borderId="2" xfId="2" applyNumberFormat="1" applyFont="1" applyBorder="1" applyAlignment="1">
      <alignment vertical="center" wrapText="1"/>
    </xf>
    <xf numFmtId="44" fontId="4" fillId="0" borderId="2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indent="1"/>
    </xf>
    <xf numFmtId="0" fontId="0" fillId="0" borderId="0" xfId="0" applyFill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2" fontId="0" fillId="0" borderId="2" xfId="0" applyNumberForma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 indent="1"/>
    </xf>
    <xf numFmtId="9" fontId="0" fillId="0" borderId="2" xfId="0" applyNumberFormat="1" applyFill="1" applyBorder="1" applyAlignment="1">
      <alignment horizontal="left" vertical="center" indent="1"/>
    </xf>
    <xf numFmtId="1" fontId="0" fillId="0" borderId="2" xfId="0" applyNumberForma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/>
    </xf>
    <xf numFmtId="0" fontId="0" fillId="0" borderId="0" xfId="3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9" fontId="0" fillId="0" borderId="2" xfId="3" applyFont="1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 indent="1"/>
    </xf>
    <xf numFmtId="9" fontId="0" fillId="0" borderId="0" xfId="3" applyFont="1" applyFill="1" applyAlignment="1">
      <alignment horizontal="left" vertical="center"/>
    </xf>
    <xf numFmtId="2" fontId="0" fillId="0" borderId="2" xfId="0" applyNumberFormat="1" applyFill="1" applyBorder="1" applyAlignment="1">
      <alignment horizontal="left" vertical="center" indent="1"/>
    </xf>
    <xf numFmtId="0" fontId="2" fillId="0" borderId="2" xfId="0" applyNumberFormat="1" applyFont="1" applyFill="1" applyBorder="1" applyAlignment="1">
      <alignment horizontal="left" vertical="center" indent="1"/>
    </xf>
    <xf numFmtId="9" fontId="2" fillId="0" borderId="2" xfId="3" applyFont="1" applyFill="1" applyBorder="1" applyAlignment="1">
      <alignment horizontal="left" vertical="center" indent="1"/>
    </xf>
    <xf numFmtId="44" fontId="2" fillId="0" borderId="2" xfId="2" applyFont="1" applyFill="1" applyBorder="1" applyAlignment="1">
      <alignment horizontal="left" vertical="center"/>
    </xf>
    <xf numFmtId="44" fontId="0" fillId="0" borderId="2" xfId="2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44" fontId="3" fillId="0" borderId="2" xfId="2" applyFont="1" applyFill="1" applyBorder="1" applyAlignment="1">
      <alignment horizontal="left" vertical="center"/>
    </xf>
    <xf numFmtId="0" fontId="2" fillId="0" borderId="2" xfId="2" applyNumberFormat="1" applyFont="1" applyFill="1" applyBorder="1" applyAlignment="1">
      <alignment horizontal="left" vertical="center"/>
    </xf>
    <xf numFmtId="44" fontId="0" fillId="0" borderId="0" xfId="0" applyNumberFormat="1" applyFill="1" applyAlignment="1">
      <alignment horizontal="left" vertical="center"/>
    </xf>
    <xf numFmtId="9" fontId="2" fillId="0" borderId="2" xfId="2" applyNumberFormat="1" applyFont="1" applyFill="1" applyBorder="1" applyAlignment="1">
      <alignment horizontal="left" vertical="center"/>
    </xf>
    <xf numFmtId="9" fontId="0" fillId="0" borderId="2" xfId="2" applyNumberFormat="1" applyFont="1" applyFill="1" applyBorder="1" applyAlignment="1">
      <alignment horizontal="left" vertical="center"/>
    </xf>
    <xf numFmtId="1" fontId="2" fillId="0" borderId="2" xfId="2" applyNumberFormat="1" applyFont="1" applyFill="1" applyBorder="1" applyAlignment="1">
      <alignment horizontal="left" vertical="center"/>
    </xf>
    <xf numFmtId="1" fontId="0" fillId="0" borderId="2" xfId="2" applyNumberFormat="1" applyFont="1" applyFill="1" applyBorder="1" applyAlignment="1">
      <alignment horizontal="left" vertical="center"/>
    </xf>
    <xf numFmtId="2" fontId="0" fillId="0" borderId="2" xfId="0" applyNumberFormat="1" applyFill="1" applyBorder="1"/>
    <xf numFmtId="2" fontId="0" fillId="0" borderId="0" xfId="0" applyNumberFormat="1" applyFill="1"/>
    <xf numFmtId="0" fontId="9" fillId="0" borderId="2" xfId="0" applyFont="1" applyFill="1" applyBorder="1" applyAlignment="1">
      <alignment horizontal="left" vertical="center" wrapText="1"/>
    </xf>
    <xf numFmtId="44" fontId="0" fillId="0" borderId="2" xfId="0" applyNumberForma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indent="1"/>
    </xf>
    <xf numFmtId="44" fontId="4" fillId="0" borderId="2" xfId="2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2" xfId="0" applyNumberFormat="1" applyFont="1" applyFill="1" applyBorder="1" applyAlignment="1">
      <alignment horizontal="left" vertical="center" indent="1"/>
    </xf>
    <xf numFmtId="0" fontId="3" fillId="0" borderId="3" xfId="0" applyNumberFormat="1" applyFont="1" applyFill="1" applyBorder="1" applyAlignment="1">
      <alignment horizontal="left" vertical="center"/>
    </xf>
    <xf numFmtId="44" fontId="3" fillId="0" borderId="3" xfId="2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44" fontId="3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4" fontId="2" fillId="0" borderId="4" xfId="2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2" fillId="0" borderId="11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>
      <alignment horizontal="left" vertical="center"/>
    </xf>
    <xf numFmtId="0" fontId="0" fillId="0" borderId="2" xfId="2" applyNumberFormat="1" applyFont="1" applyFill="1" applyBorder="1" applyAlignment="1">
      <alignment horizontal="left" vertical="center" indent="1"/>
    </xf>
    <xf numFmtId="0" fontId="3" fillId="0" borderId="2" xfId="2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 indent="1"/>
    </xf>
    <xf numFmtId="0" fontId="3" fillId="0" borderId="8" xfId="0" applyNumberFormat="1" applyFont="1" applyFill="1" applyBorder="1" applyAlignment="1">
      <alignment horizontal="left" vertical="center"/>
    </xf>
    <xf numFmtId="44" fontId="3" fillId="0" borderId="8" xfId="2" applyFont="1" applyFill="1" applyBorder="1" applyAlignment="1">
      <alignment horizontal="left" vertical="center"/>
    </xf>
    <xf numFmtId="44" fontId="3" fillId="0" borderId="0" xfId="2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44" fontId="3" fillId="0" borderId="10" xfId="2" applyFont="1" applyFill="1" applyBorder="1" applyAlignment="1">
      <alignment horizontal="left" vertical="center"/>
    </xf>
    <xf numFmtId="44" fontId="0" fillId="0" borderId="0" xfId="0" applyNumberFormat="1"/>
    <xf numFmtId="0" fontId="2" fillId="0" borderId="2" xfId="0" applyFont="1" applyBorder="1" applyAlignment="1">
      <alignment wrapText="1"/>
    </xf>
    <xf numFmtId="43" fontId="2" fillId="0" borderId="2" xfId="1" applyFont="1" applyBorder="1"/>
    <xf numFmtId="8" fontId="0" fillId="0" borderId="2" xfId="0" applyNumberFormat="1" applyBorder="1"/>
    <xf numFmtId="43" fontId="2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0" borderId="2" xfId="2" applyNumberFormat="1" applyFon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43" fontId="2" fillId="0" borderId="2" xfId="0" applyNumberFormat="1" applyFont="1" applyBorder="1"/>
    <xf numFmtId="0" fontId="0" fillId="0" borderId="3" xfId="0" applyFont="1" applyBorder="1" applyAlignment="1">
      <alignment horizontal="center" vertical="center"/>
    </xf>
    <xf numFmtId="43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3" fontId="0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/>
    <xf numFmtId="44" fontId="0" fillId="3" borderId="2" xfId="0" applyNumberFormat="1" applyFill="1" applyBorder="1"/>
    <xf numFmtId="0" fontId="2" fillId="3" borderId="2" xfId="0" applyFont="1" applyFill="1" applyBorder="1" applyAlignment="1">
      <alignment horizontal="left" indent="1"/>
    </xf>
    <xf numFmtId="44" fontId="0" fillId="3" borderId="2" xfId="2" applyFont="1" applyFill="1" applyBorder="1"/>
    <xf numFmtId="0" fontId="15" fillId="3" borderId="2" xfId="0" applyFont="1" applyFill="1" applyBorder="1" applyAlignment="1">
      <alignment wrapText="1"/>
    </xf>
    <xf numFmtId="0" fontId="2" fillId="3" borderId="2" xfId="0" applyNumberFormat="1" applyFont="1" applyFill="1" applyBorder="1" applyAlignment="1">
      <alignment horizontal="left" vertical="center"/>
    </xf>
    <xf numFmtId="44" fontId="0" fillId="3" borderId="2" xfId="2" applyFont="1" applyFill="1" applyBorder="1" applyAlignment="1">
      <alignment horizontal="left" vertical="center"/>
    </xf>
    <xf numFmtId="6" fontId="2" fillId="0" borderId="2" xfId="0" applyNumberFormat="1" applyFont="1" applyBorder="1"/>
    <xf numFmtId="44" fontId="13" fillId="0" borderId="4" xfId="2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1" fontId="0" fillId="0" borderId="2" xfId="0" applyNumberFormat="1" applyBorder="1"/>
    <xf numFmtId="10" fontId="0" fillId="0" borderId="2" xfId="3" applyNumberFormat="1" applyFont="1" applyBorder="1"/>
    <xf numFmtId="9" fontId="0" fillId="0" borderId="2" xfId="3" applyFont="1" applyBorder="1"/>
    <xf numFmtId="1" fontId="3" fillId="0" borderId="2" xfId="0" applyNumberFormat="1" applyFont="1" applyBorder="1"/>
    <xf numFmtId="0" fontId="3" fillId="0" borderId="3" xfId="0" applyFont="1" applyBorder="1"/>
    <xf numFmtId="0" fontId="0" fillId="0" borderId="5" xfId="0" applyBorder="1"/>
    <xf numFmtId="0" fontId="2" fillId="0" borderId="5" xfId="0" applyFont="1" applyBorder="1" applyAlignment="1">
      <alignment wrapText="1"/>
    </xf>
    <xf numFmtId="0" fontId="0" fillId="0" borderId="0" xfId="0" applyBorder="1"/>
    <xf numFmtId="0" fontId="0" fillId="0" borderId="4" xfId="0" applyBorder="1"/>
    <xf numFmtId="0" fontId="3" fillId="0" borderId="4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" fontId="0" fillId="0" borderId="2" xfId="0" applyNumberFormat="1" applyBorder="1" applyAlignment="1">
      <alignment wrapText="1"/>
    </xf>
    <xf numFmtId="44" fontId="2" fillId="3" borderId="2" xfId="2" applyFont="1" applyFill="1" applyBorder="1"/>
    <xf numFmtId="10" fontId="0" fillId="0" borderId="2" xfId="3" applyNumberFormat="1" applyFont="1" applyBorder="1" applyAlignment="1">
      <alignment horizontal="left" vertical="center" indent="1"/>
    </xf>
    <xf numFmtId="0" fontId="0" fillId="0" borderId="0" xfId="0" applyBorder="1" applyAlignment="1">
      <alignment wrapText="1"/>
    </xf>
    <xf numFmtId="1" fontId="0" fillId="0" borderId="0" xfId="0" applyNumberFormat="1" applyBorder="1"/>
    <xf numFmtId="9" fontId="0" fillId="0" borderId="0" xfId="0" applyNumberFormat="1" applyBorder="1"/>
    <xf numFmtId="0" fontId="2" fillId="0" borderId="0" xfId="0" applyFont="1" applyBorder="1" applyAlignment="1">
      <alignment wrapText="1"/>
    </xf>
    <xf numFmtId="1" fontId="2" fillId="0" borderId="0" xfId="0" applyNumberFormat="1" applyFont="1" applyBorder="1"/>
    <xf numFmtId="0" fontId="0" fillId="0" borderId="0" xfId="0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 indent="1"/>
    </xf>
    <xf numFmtId="2" fontId="0" fillId="0" borderId="0" xfId="0" applyNumberForma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17" fillId="0" borderId="0" xfId="0" applyFont="1"/>
    <xf numFmtId="0" fontId="18" fillId="4" borderId="13" xfId="0" applyFont="1" applyFill="1" applyBorder="1" applyAlignment="1">
      <alignment vertical="top" wrapText="1"/>
    </xf>
    <xf numFmtId="0" fontId="19" fillId="4" borderId="14" xfId="0" applyFont="1" applyFill="1" applyBorder="1" applyAlignment="1">
      <alignment horizontal="left" vertical="center" wrapText="1" readingOrder="1"/>
    </xf>
    <xf numFmtId="0" fontId="19" fillId="4" borderId="15" xfId="0" applyFont="1" applyFill="1" applyBorder="1" applyAlignment="1">
      <alignment horizontal="left" vertical="center" wrapText="1" readingOrder="1"/>
    </xf>
    <xf numFmtId="0" fontId="20" fillId="0" borderId="13" xfId="0" applyFont="1" applyBorder="1" applyAlignment="1">
      <alignment horizontal="left" vertical="center" wrapText="1" readingOrder="1"/>
    </xf>
    <xf numFmtId="6" fontId="22" fillId="0" borderId="14" xfId="0" applyNumberFormat="1" applyFont="1" applyBorder="1" applyAlignment="1">
      <alignment horizontal="left" vertical="center" wrapText="1" readingOrder="1"/>
    </xf>
    <xf numFmtId="6" fontId="20" fillId="0" borderId="14" xfId="0" applyNumberFormat="1" applyFont="1" applyBorder="1" applyAlignment="1">
      <alignment horizontal="left" vertical="center" wrapText="1" readingOrder="1"/>
    </xf>
    <xf numFmtId="6" fontId="20" fillId="0" borderId="15" xfId="0" applyNumberFormat="1" applyFont="1" applyBorder="1" applyAlignment="1">
      <alignment horizontal="left" vertical="center" wrapText="1" readingOrder="1"/>
    </xf>
    <xf numFmtId="0" fontId="22" fillId="0" borderId="13" xfId="0" applyFont="1" applyBorder="1" applyAlignment="1">
      <alignment horizontal="left" vertical="center" wrapText="1" indent="1" readingOrder="1"/>
    </xf>
    <xf numFmtId="6" fontId="22" fillId="0" borderId="15" xfId="0" applyNumberFormat="1" applyFont="1" applyBorder="1" applyAlignment="1">
      <alignment horizontal="left" vertical="center" wrapText="1" readingOrder="1"/>
    </xf>
    <xf numFmtId="0" fontId="18" fillId="0" borderId="14" xfId="0" applyFont="1" applyBorder="1" applyAlignment="1">
      <alignment vertical="top" wrapText="1"/>
    </xf>
    <xf numFmtId="0" fontId="22" fillId="0" borderId="14" xfId="0" applyFont="1" applyBorder="1" applyAlignment="1">
      <alignment horizontal="left" vertical="center" wrapText="1" readingOrder="1"/>
    </xf>
    <xf numFmtId="0" fontId="22" fillId="0" borderId="15" xfId="0" applyFont="1" applyBorder="1" applyAlignment="1">
      <alignment horizontal="left" vertical="center" wrapText="1" readingOrder="1"/>
    </xf>
    <xf numFmtId="0" fontId="23" fillId="0" borderId="14" xfId="0" applyFont="1" applyBorder="1" applyAlignment="1">
      <alignment horizontal="left" vertical="center" wrapText="1" readingOrder="1"/>
    </xf>
    <xf numFmtId="0" fontId="20" fillId="0" borderId="13" xfId="0" applyFont="1" applyBorder="1" applyAlignment="1">
      <alignment horizontal="left" vertical="center" wrapText="1" indent="1" readingOrder="1"/>
    </xf>
    <xf numFmtId="0" fontId="20" fillId="0" borderId="14" xfId="0" applyFont="1" applyBorder="1" applyAlignment="1">
      <alignment horizontal="left" vertical="center" wrapText="1" readingOrder="1"/>
    </xf>
    <xf numFmtId="0" fontId="20" fillId="0" borderId="15" xfId="0" applyFont="1" applyBorder="1" applyAlignment="1">
      <alignment horizontal="left" vertical="center" wrapText="1" readingOrder="1"/>
    </xf>
    <xf numFmtId="44" fontId="21" fillId="0" borderId="14" xfId="0" applyNumberFormat="1" applyFont="1" applyBorder="1" applyAlignment="1">
      <alignment horizontal="left" vertical="center" wrapText="1" readingOrder="1"/>
    </xf>
    <xf numFmtId="44" fontId="23" fillId="0" borderId="14" xfId="0" applyNumberFormat="1" applyFont="1" applyBorder="1" applyAlignment="1">
      <alignment horizontal="left" vertical="center" wrapText="1" readingOrder="1"/>
    </xf>
    <xf numFmtId="44" fontId="22" fillId="0" borderId="14" xfId="0" applyNumberFormat="1" applyFont="1" applyBorder="1" applyAlignment="1">
      <alignment horizontal="left" vertical="center" wrapText="1" readingOrder="1"/>
    </xf>
    <xf numFmtId="44" fontId="20" fillId="0" borderId="14" xfId="0" applyNumberFormat="1" applyFont="1" applyBorder="1" applyAlignment="1">
      <alignment horizontal="left" vertical="center" wrapText="1" readingOrder="1"/>
    </xf>
    <xf numFmtId="0" fontId="0" fillId="0" borderId="0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44" fontId="0" fillId="0" borderId="0" xfId="2" applyFont="1" applyFill="1" applyBorder="1" applyAlignment="1">
      <alignment horizontal="left" vertical="center"/>
    </xf>
    <xf numFmtId="44" fontId="0" fillId="0" borderId="0" xfId="0" applyNumberFormat="1" applyFill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2" xfId="3" applyNumberFormat="1" applyFont="1" applyBorder="1" applyAlignment="1">
      <alignment horizontal="left" vertical="center" indent="1"/>
    </xf>
    <xf numFmtId="0" fontId="0" fillId="0" borderId="2" xfId="3" applyNumberFormat="1" applyFont="1" applyBorder="1" applyAlignment="1">
      <alignment horizontal="left" vertical="center"/>
    </xf>
    <xf numFmtId="2" fontId="0" fillId="0" borderId="0" xfId="0" applyNumberFormat="1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left" vertical="center" indent="1"/>
    </xf>
    <xf numFmtId="2" fontId="0" fillId="0" borderId="0" xfId="0" applyNumberFormat="1" applyBorder="1" applyAlignment="1">
      <alignment horizontal="left"/>
    </xf>
    <xf numFmtId="0" fontId="0" fillId="0" borderId="0" xfId="0" applyNumberFormat="1" applyFill="1" applyBorder="1" applyAlignment="1">
      <alignment horizontal="left" vertical="center" wrapText="1"/>
    </xf>
    <xf numFmtId="0" fontId="0" fillId="0" borderId="0" xfId="3" applyNumberFormat="1" applyFont="1" applyBorder="1" applyAlignment="1">
      <alignment horizontal="left" vertical="center"/>
    </xf>
    <xf numFmtId="0" fontId="18" fillId="0" borderId="13" xfId="0" applyFont="1" applyBorder="1" applyAlignment="1">
      <alignment vertical="top" wrapText="1"/>
    </xf>
    <xf numFmtId="0" fontId="20" fillId="2" borderId="13" xfId="0" applyFont="1" applyFill="1" applyBorder="1" applyAlignment="1">
      <alignment horizontal="left" vertical="center" wrapText="1" readingOrder="1"/>
    </xf>
    <xf numFmtId="0" fontId="22" fillId="2" borderId="13" xfId="0" applyFont="1" applyFill="1" applyBorder="1" applyAlignment="1">
      <alignment horizontal="left" vertical="center" wrapText="1" indent="1" readingOrder="1"/>
    </xf>
    <xf numFmtId="0" fontId="22" fillId="2" borderId="14" xfId="0" applyFont="1" applyFill="1" applyBorder="1" applyAlignment="1">
      <alignment horizontal="left" vertical="center" wrapText="1" readingOrder="1"/>
    </xf>
    <xf numFmtId="6" fontId="22" fillId="2" borderId="14" xfId="0" applyNumberFormat="1" applyFont="1" applyFill="1" applyBorder="1" applyAlignment="1">
      <alignment horizontal="left" vertical="center" wrapText="1" readingOrder="1"/>
    </xf>
    <xf numFmtId="0" fontId="24" fillId="0" borderId="14" xfId="0" applyFont="1" applyBorder="1" applyAlignment="1">
      <alignment horizontal="left" vertical="top" wrapText="1" readingOrder="1"/>
    </xf>
    <xf numFmtId="6" fontId="22" fillId="2" borderId="15" xfId="0" applyNumberFormat="1" applyFont="1" applyFill="1" applyBorder="1" applyAlignment="1">
      <alignment horizontal="left" vertical="center" wrapText="1" readingOrder="1"/>
    </xf>
    <xf numFmtId="0" fontId="24" fillId="0" borderId="15" xfId="0" applyFont="1" applyBorder="1" applyAlignment="1">
      <alignment horizontal="left" vertical="top" wrapText="1" readingOrder="1"/>
    </xf>
    <xf numFmtId="0" fontId="22" fillId="2" borderId="15" xfId="0" applyFont="1" applyFill="1" applyBorder="1" applyAlignment="1">
      <alignment horizontal="left" vertical="center" wrapText="1" readingOrder="1"/>
    </xf>
    <xf numFmtId="0" fontId="0" fillId="0" borderId="2" xfId="2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 indent="1"/>
    </xf>
    <xf numFmtId="0" fontId="0" fillId="0" borderId="2" xfId="0" applyFill="1" applyBorder="1"/>
    <xf numFmtId="0" fontId="0" fillId="0" borderId="2" xfId="0" applyBorder="1" applyAlignment="1">
      <alignment horizontal="left" indent="1"/>
    </xf>
    <xf numFmtId="6" fontId="22" fillId="0" borderId="15" xfId="0" applyNumberFormat="1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0" borderId="0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/>
    </xf>
    <xf numFmtId="44" fontId="2" fillId="0" borderId="6" xfId="2" applyFont="1" applyBorder="1" applyAlignment="1">
      <alignment horizontal="center"/>
    </xf>
    <xf numFmtId="44" fontId="2" fillId="0" borderId="4" xfId="2" applyFont="1" applyBorder="1" applyAlignment="1">
      <alignment horizontal="center"/>
    </xf>
    <xf numFmtId="44" fontId="2" fillId="0" borderId="7" xfId="2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4" fontId="13" fillId="0" borderId="2" xfId="2" applyFont="1" applyBorder="1" applyAlignment="1">
      <alignment horizontal="center" vertical="center" wrapText="1"/>
    </xf>
    <xf numFmtId="44" fontId="13" fillId="0" borderId="3" xfId="2" applyFont="1" applyBorder="1" applyAlignment="1">
      <alignment horizontal="center" vertical="center" wrapText="1"/>
    </xf>
    <xf numFmtId="0" fontId="2" fillId="0" borderId="6" xfId="2" applyNumberFormat="1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2" fillId="0" borderId="7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4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2" applyNumberFormat="1" applyFont="1" applyFill="1" applyBorder="1" applyAlignment="1">
      <alignment horizontal="center" vertical="center"/>
    </xf>
    <xf numFmtId="0" fontId="2" fillId="0" borderId="10" xfId="2" applyNumberFormat="1" applyFont="1" applyFill="1" applyBorder="1" applyAlignment="1">
      <alignment horizontal="center" vertical="center"/>
    </xf>
    <xf numFmtId="0" fontId="2" fillId="0" borderId="11" xfId="2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4" fontId="2" fillId="0" borderId="6" xfId="2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44" fontId="2" fillId="0" borderId="7" xfId="2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 indent="1"/>
    </xf>
    <xf numFmtId="44" fontId="25" fillId="0" borderId="2" xfId="2" applyFont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2" fillId="0" borderId="2" xfId="0" applyNumberFormat="1" applyFont="1" applyFill="1" applyBorder="1" applyAlignment="1">
      <alignment horizontal="left" vertical="center" wrapText="1" inden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Optimized Data -</a:t>
            </a:r>
            <a:r>
              <a:rPr lang="en-US" baseline="0"/>
              <a:t> Medium Case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10"/>
          <c:order val="0"/>
          <c:tx>
            <c:strRef>
              <c:f>'Optimization Dashboard'!$A$27</c:f>
              <c:strCache>
                <c:ptCount val="1"/>
                <c:pt idx="0">
                  <c:v>Total Annual Capital Cost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Dashboard'!$B$27</c:f>
              <c:numCache>
                <c:formatCode>_("$"* #,##0.00_);_("$"* \(#,##0.00\);_("$"* "-"??_);_(@_)</c:formatCode>
                <c:ptCount val="1"/>
                <c:pt idx="0">
                  <c:v>17418.422741328177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79-4B80-9CEA-3D1EB50EBB11}"/>
            </c:ext>
          </c:extLst>
        </c:ser>
        <c:ser>
          <c:idx val="0"/>
          <c:order val="1"/>
          <c:tx>
            <c:strRef>
              <c:f>'Optimization Dashboard'!$A$30</c:f>
              <c:strCache>
                <c:ptCount val="1"/>
                <c:pt idx="0">
                  <c:v>Electricity charge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Dashboard'!$B$30</c:f>
              <c:numCache>
                <c:formatCode>_("$"* #,##0.00_);_("$"* \(#,##0.00\);_("$"* "-"??_);_(@_)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9-4B80-9CEA-3D1EB50EBB11}"/>
            </c:ext>
          </c:extLst>
        </c:ser>
        <c:ser>
          <c:idx val="1"/>
          <c:order val="2"/>
          <c:tx>
            <c:strRef>
              <c:f>'Optimization Dashboard'!$A$31</c:f>
              <c:strCache>
                <c:ptCount val="1"/>
                <c:pt idx="0">
                  <c:v>WW charge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Dashboard'!$B$31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9-4B80-9CEA-3D1EB50EBB11}"/>
            </c:ext>
          </c:extLst>
        </c:ser>
        <c:ser>
          <c:idx val="2"/>
          <c:order val="3"/>
          <c:tx>
            <c:strRef>
              <c:f>'Optimization Dashboard'!$A$32</c:f>
              <c:strCache>
                <c:ptCount val="1"/>
                <c:pt idx="0">
                  <c:v>Freshwater charge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Dashboard'!$B$32</c:f>
              <c:numCache>
                <c:formatCode>_("$"* #,##0.00_);_("$"* \(#,##0.00\);_("$"* "-"??_);_(@_)</c:formatCode>
                <c:ptCount val="1"/>
                <c:pt idx="0">
                  <c:v>418.33009856023267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9-4B80-9CEA-3D1EB50EBB11}"/>
            </c:ext>
          </c:extLst>
        </c:ser>
        <c:ser>
          <c:idx val="3"/>
          <c:order val="4"/>
          <c:tx>
            <c:strRef>
              <c:f>'Optimization Dashboard'!$A$33</c:f>
              <c:strCache>
                <c:ptCount val="1"/>
                <c:pt idx="0">
                  <c:v>Hauling fee Grind2Energy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Dashboard'!$B$33</c:f>
              <c:numCache>
                <c:formatCode>_("$"* #,##0.00_);_("$"* \(#,##0.00\);_("$"* "-"??_);_(@_)</c:formatCode>
                <c:ptCount val="1"/>
                <c:pt idx="0">
                  <c:v>4669.9604849110137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79-4B80-9CEA-3D1EB50EBB11}"/>
            </c:ext>
          </c:extLst>
        </c:ser>
        <c:ser>
          <c:idx val="4"/>
          <c:order val="5"/>
          <c:tx>
            <c:strRef>
              <c:f>'Optimization Dashboard'!$A$34</c:f>
              <c:strCache>
                <c:ptCount val="1"/>
                <c:pt idx="0">
                  <c:v>Hauling fee Off-site Grinder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Dashboard'!$B$34</c:f>
              <c:numCache>
                <c:formatCode>_("$"* #,##0.00_);_("$"* \(#,##0.00\);_("$"* "-"??_);_(@_)</c:formatCode>
                <c:ptCount val="1"/>
                <c:pt idx="0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9-4B80-9CEA-3D1EB50EBB11}"/>
            </c:ext>
          </c:extLst>
        </c:ser>
        <c:ser>
          <c:idx val="5"/>
          <c:order val="6"/>
          <c:tx>
            <c:strRef>
              <c:f>'Optimization Dashboard'!$A$35</c:f>
              <c:strCache>
                <c:ptCount val="1"/>
                <c:pt idx="0">
                  <c:v>Tipping fee Grind2Energy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Dashboard'!$B$35</c:f>
              <c:numCache>
                <c:formatCode>_("$"* #,##0.00_);_("$"* \(#,##0.00\);_("$"* "-"??_);_(@_)</c:formatCode>
                <c:ptCount val="1"/>
                <c:pt idx="0">
                  <c:v>14009.88145473304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79-4B80-9CEA-3D1EB50EBB11}"/>
            </c:ext>
          </c:extLst>
        </c:ser>
        <c:ser>
          <c:idx val="6"/>
          <c:order val="7"/>
          <c:tx>
            <c:strRef>
              <c:f>'Optimization Dashboard'!$A$36</c:f>
              <c:strCache>
                <c:ptCount val="1"/>
                <c:pt idx="0">
                  <c:v>Tipping Fee Off-site Grinder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Dashboard'!$B$36</c:f>
              <c:numCache>
                <c:formatCode>_("$"* #,##0.00_);_("$"* \(#,##0.00\);_("$"* "-"??_);_(@_)</c:formatCode>
                <c:ptCount val="1"/>
                <c:pt idx="0">
                  <c:v>3480.4210793076136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79-4B80-9CEA-3D1EB50EBB11}"/>
            </c:ext>
          </c:extLst>
        </c:ser>
        <c:ser>
          <c:idx val="7"/>
          <c:order val="8"/>
          <c:tx>
            <c:strRef>
              <c:f>'Optimization Dashboard'!$A$37</c:f>
              <c:strCache>
                <c:ptCount val="1"/>
                <c:pt idx="0">
                  <c:v>Labor cost @ UofI (Student labor or Ac Hourly)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Dashboard'!$B$37</c:f>
              <c:numCache>
                <c:formatCode>_("$"* #,##0.00_);_("$"* \(#,##0.00\);_("$"* "-"??_);_(@_)</c:formatCode>
                <c:ptCount val="1"/>
                <c:pt idx="0">
                  <c:v>13440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79-4B80-9CEA-3D1EB50EBB11}"/>
            </c:ext>
          </c:extLst>
        </c:ser>
        <c:ser>
          <c:idx val="8"/>
          <c:order val="9"/>
          <c:tx>
            <c:strRef>
              <c:f>'Optimization Dashboard'!$A$38</c:f>
              <c:strCache>
                <c:ptCount val="1"/>
                <c:pt idx="0">
                  <c:v>Labor cost @ UCSD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Dashboard'!$B$38</c:f>
              <c:numCache>
                <c:formatCode>_("$"* #,##0.00_);_("$"* \(#,##0.00\);_("$"* "-"??_);_(@_)</c:formatCode>
                <c:ptCount val="1"/>
                <c:pt idx="0">
                  <c:v>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79-4B80-9CEA-3D1EB50EBB11}"/>
            </c:ext>
          </c:extLst>
        </c:ser>
        <c:ser>
          <c:idx val="9"/>
          <c:order val="10"/>
          <c:tx>
            <c:strRef>
              <c:f>'Optimization Dashboard'!$A$39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'Optimization Dashboard'!$B$16</c:f>
              <c:strCache>
                <c:ptCount val="1"/>
                <c:pt idx="0">
                  <c:v> Medium </c:v>
                </c:pt>
              </c:strCache>
            </c:strRef>
          </c:cat>
          <c:val>
            <c:numRef>
              <c:f>'Optimization Dashboard'!$B$39</c:f>
              <c:numCache>
                <c:formatCode>_("$"* #,##0.00_);_("$"* \(#,##0.00\);_("$"* "-"??_);_(@_)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79-4B80-9CEA-3D1EB50EB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298312"/>
        <c:axId val="427293064"/>
        <c:axId val="0"/>
      </c:bar3DChart>
      <c:catAx>
        <c:axId val="42729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293064"/>
        <c:crosses val="autoZero"/>
        <c:auto val="1"/>
        <c:lblAlgn val="ctr"/>
        <c:lblOffset val="100"/>
        <c:noMultiLvlLbl val="0"/>
      </c:catAx>
      <c:valAx>
        <c:axId val="427293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29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'Comparing all options'!$B$1</c:f>
              <c:strCache>
                <c:ptCount val="1"/>
                <c:pt idx="0">
                  <c:v>Cap Cost (Equipment, Bins &amp; Construction)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options'!$B$2:$B$8</c:f>
            </c:numRef>
          </c:val>
          <c:extLst>
            <c:ext xmlns:c16="http://schemas.microsoft.com/office/drawing/2014/chart" uri="{C3380CC4-5D6E-409C-BE32-E72D297353CC}">
              <c16:uniqueId val="{00000000-533E-4C71-A7FE-9753E54E6F93}"/>
            </c:ext>
          </c:extLst>
        </c:ser>
        <c:ser>
          <c:idx val="1"/>
          <c:order val="1"/>
          <c:tx>
            <c:strRef>
              <c:f>'Comparing all options'!$C$1</c:f>
              <c:strCache>
                <c:ptCount val="1"/>
                <c:pt idx="0">
                  <c:v>Annualized Capital Cost (Amortized)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options'!$C$2:$C$8</c:f>
              <c:numCache>
                <c:formatCode>_("$"* #,##0.00_);_("$"* \(#,##0.00\);_("$"* "-"??_);_(@_)</c:formatCode>
                <c:ptCount val="7"/>
                <c:pt idx="0">
                  <c:v>106383.55718710583</c:v>
                </c:pt>
                <c:pt idx="1">
                  <c:v>22616.976724817774</c:v>
                </c:pt>
                <c:pt idx="2">
                  <c:v>33143.922891513517</c:v>
                </c:pt>
                <c:pt idx="3">
                  <c:v>29376.939768124419</c:v>
                </c:pt>
                <c:pt idx="4">
                  <c:v>20802.592592004614</c:v>
                </c:pt>
                <c:pt idx="5">
                  <c:v>51318.757854416152</c:v>
                </c:pt>
                <c:pt idx="6" formatCode="&quot;$&quot;#,##0_);[Red]\(&quot;$&quot;#,##0\)">
                  <c:v>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E-4C71-A7FE-9753E54E6F93}"/>
            </c:ext>
          </c:extLst>
        </c:ser>
        <c:ser>
          <c:idx val="2"/>
          <c:order val="2"/>
          <c:tx>
            <c:strRef>
              <c:f>'Comparing all options'!$D$1</c:f>
              <c:strCache>
                <c:ptCount val="1"/>
                <c:pt idx="0">
                  <c:v>Operating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options'!$D$2:$D$8</c:f>
            </c:numRef>
          </c:val>
          <c:extLst>
            <c:ext xmlns:c16="http://schemas.microsoft.com/office/drawing/2014/chart" uri="{C3380CC4-5D6E-409C-BE32-E72D297353CC}">
              <c16:uniqueId val="{00000002-533E-4C71-A7FE-9753E54E6F93}"/>
            </c:ext>
          </c:extLst>
        </c:ser>
        <c:ser>
          <c:idx val="3"/>
          <c:order val="3"/>
          <c:tx>
            <c:strRef>
              <c:f>'Comparing all options'!$E$1</c:f>
              <c:strCache>
                <c:ptCount val="1"/>
                <c:pt idx="0">
                  <c:v>Biomix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options'!$E$2:$E$8</c:f>
              <c:numCache>
                <c:formatCode>_("$"* #,##0.00_);_("$"* \(#,##0.00\);_("$"* "-"??_);_(@_)</c:formatCode>
                <c:ptCount val="7"/>
                <c:pt idx="0">
                  <c:v>25000</c:v>
                </c:pt>
                <c:pt idx="1">
                  <c:v>25000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E-4C71-A7FE-9753E54E6F93}"/>
            </c:ext>
          </c:extLst>
        </c:ser>
        <c:ser>
          <c:idx val="4"/>
          <c:order val="4"/>
          <c:tx>
            <c:strRef>
              <c:f>'Comparing all options'!$F$1</c:f>
              <c:strCache>
                <c:ptCount val="1"/>
                <c:pt idx="0">
                  <c:v>Electricity Aerobic Digestion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options'!$F$2:$F$8</c:f>
              <c:numCache>
                <c:formatCode>_("$"* #,##0.00_);_("$"* \(#,##0.00\);_("$"* "-"??_);_(@_)</c:formatCode>
                <c:ptCount val="7"/>
                <c:pt idx="0">
                  <c:v>4665.5973022437283</c:v>
                </c:pt>
                <c:pt idx="1">
                  <c:v>4665.5973022437283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3E-4C71-A7FE-9753E54E6F93}"/>
            </c:ext>
          </c:extLst>
        </c:ser>
        <c:ser>
          <c:idx val="5"/>
          <c:order val="5"/>
          <c:tx>
            <c:strRef>
              <c:f>'Comparing all options'!$G$1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options'!$G$2:$G$8</c:f>
              <c:numCache>
                <c:formatCode>_("$"* #,##0.00_);_("$"* \(#,##0.00\);_("$"* "-"??_);_(@_)</c:formatCode>
                <c:ptCount val="7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3E-4C71-A7FE-9753E54E6F93}"/>
            </c:ext>
          </c:extLst>
        </c:ser>
        <c:ser>
          <c:idx val="6"/>
          <c:order val="6"/>
          <c:tx>
            <c:strRef>
              <c:f>'Comparing all options'!$H$1</c:f>
              <c:strCache>
                <c:ptCount val="1"/>
                <c:pt idx="0">
                  <c:v>UCSD Delivered Waste Fee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options'!$H$2:$H$8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24192</c:v>
                </c:pt>
                <c:pt idx="3" formatCode="_(&quot;$&quot;* #,##0.00_);_(&quot;$&quot;* \(#,##0.00\);_(&quot;$&quot;* &quot;-&quot;??_);_(@_)">
                  <c:v>3472.358400000001</c:v>
                </c:pt>
                <c:pt idx="4" formatCode="_(&quot;$&quot;* #,##0.00_);_(&quot;$&quot;* \(#,##0.00\);_(&quot;$&quot;* &quot;-&quot;??_);_(@_)">
                  <c:v>6820.7040000000015</c:v>
                </c:pt>
                <c:pt idx="5" formatCode="_(&quot;$&quot;* #,##0.00_);_(&quot;$&quot;* \(#,##0.00\);_(&quot;$&quot;* &quot;-&quot;??_);_(@_)">
                  <c:v>2273.5680000000002</c:v>
                </c:pt>
                <c:pt idx="6" formatCode="&quot;$&quot;#,##0_);[Red]\(&quot;$&quot;#,##0\)">
                  <c:v>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3E-4C71-A7FE-9753E54E6F93}"/>
            </c:ext>
          </c:extLst>
        </c:ser>
        <c:ser>
          <c:idx val="7"/>
          <c:order val="7"/>
          <c:tx>
            <c:strRef>
              <c:f>'Comparing all options'!$I$1</c:f>
              <c:strCache>
                <c:ptCount val="1"/>
                <c:pt idx="0">
                  <c:v>Hauling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options'!$I$2:$I$8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_(&quot;$&quot;* #,##0.00_);_(&quot;$&quot;* \(#,##0.00\);_(&quot;$&quot;* &quot;-&quot;??_);_(@_)">
                  <c:v>8064</c:v>
                </c:pt>
                <c:pt idx="3" formatCode="_(&quot;$&quot;* #,##0.00_);_(&quot;$&quot;* \(#,##0.00\);_(&quot;$&quot;* &quot;-&quot;??_);_(@_)">
                  <c:v>19200</c:v>
                </c:pt>
                <c:pt idx="4" formatCode="_(&quot;$&quot;* #,##0.00_);_(&quot;$&quot;* \(#,##0.00\);_(&quot;$&quot;* &quot;-&quot;??_);_(@_)">
                  <c:v>19200</c:v>
                </c:pt>
                <c:pt idx="5" formatCode="_(&quot;$&quot;* #,##0.00_);_(&quot;$&quot;* \(#,##0.00\);_(&quot;$&quot;* &quot;-&quot;??_);_(@_)">
                  <c:v>19200</c:v>
                </c:pt>
                <c:pt idx="6" formatCode="&quot;$&quot;#,##0_);[Red]\(&quot;$&quot;#,##0\)">
                  <c:v>38400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3E-4C71-A7FE-9753E54E6F93}"/>
            </c:ext>
          </c:extLst>
        </c:ser>
        <c:ser>
          <c:idx val="8"/>
          <c:order val="8"/>
          <c:tx>
            <c:strRef>
              <c:f>'Comparing all options'!$J$1</c:f>
              <c:strCache>
                <c:ptCount val="1"/>
                <c:pt idx="0">
                  <c:v>Labor (at UofI and UCSD)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options'!$J$2:$J$8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(&quot;$&quot;* #,##0.00_);_(&quot;$&quot;* \(#,##0.00\);_(&quot;$&quot;* &quot;-&quot;??_);_(@_)">
                  <c:v>4800</c:v>
                </c:pt>
                <c:pt idx="4" formatCode="_(&quot;$&quot;* #,##0.00_);_(&quot;$&quot;* \(#,##0.00\);_(&quot;$&quot;* &quot;-&quot;??_);_(@_)">
                  <c:v>4800</c:v>
                </c:pt>
                <c:pt idx="5" formatCode="_(&quot;$&quot;* #,##0.00_);_(&quot;$&quot;* \(#,##0.00\);_(&quot;$&quot;* &quot;-&quot;??_);_(@_)">
                  <c:v>4800</c:v>
                </c:pt>
                <c:pt idx="6" formatCode="&quot;$&quot;#,##0_);[Red]\(&quot;$&quot;#,##0\)">
                  <c:v>28320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3E-4C71-A7FE-9753E54E6F93}"/>
            </c:ext>
          </c:extLst>
        </c:ser>
        <c:ser>
          <c:idx val="9"/>
          <c:order val="9"/>
          <c:tx>
            <c:strRef>
              <c:f>'Comparing all options'!$K$1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options'!$K$2:$K$8</c:f>
              <c:numCache>
                <c:formatCode>_("$"* #,##0.00_);_("$"* \(#,##0.00\);_("$"* "-"??_);_(@_)</c:formatCode>
                <c:ptCount val="7"/>
                <c:pt idx="0">
                  <c:v>807.17414400000007</c:v>
                </c:pt>
                <c:pt idx="1">
                  <c:v>807.17414400000007</c:v>
                </c:pt>
                <c:pt idx="2">
                  <c:v>600</c:v>
                </c:pt>
                <c:pt idx="3">
                  <c:v>1050</c:v>
                </c:pt>
                <c:pt idx="4">
                  <c:v>600</c:v>
                </c:pt>
                <c:pt idx="5">
                  <c:v>600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3E-4C71-A7FE-9753E54E6F93}"/>
            </c:ext>
          </c:extLst>
        </c:ser>
        <c:ser>
          <c:idx val="10"/>
          <c:order val="10"/>
          <c:tx>
            <c:strRef>
              <c:f>'Comparing all options'!$L$1</c:f>
              <c:strCache>
                <c:ptCount val="1"/>
                <c:pt idx="0">
                  <c:v>Freshwater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options'!$L$2:$L$8</c:f>
              <c:numCache>
                <c:formatCode>_("$"* #,##0.00_);_("$"* \(#,##0.00\);_("$"* "-"??_);_(@_)</c:formatCode>
                <c:ptCount val="7"/>
                <c:pt idx="0">
                  <c:v>1203.8399999999999</c:v>
                </c:pt>
                <c:pt idx="1">
                  <c:v>1203.8399999999999</c:v>
                </c:pt>
                <c:pt idx="2">
                  <c:v>481.53599999999994</c:v>
                </c:pt>
                <c:pt idx="3">
                  <c:v>722.30399999999997</c:v>
                </c:pt>
                <c:pt idx="4">
                  <c:v>1805.7599999999998</c:v>
                </c:pt>
                <c:pt idx="5">
                  <c:v>481.536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3E-4C71-A7FE-9753E54E6F93}"/>
            </c:ext>
          </c:extLst>
        </c:ser>
        <c:ser>
          <c:idx val="11"/>
          <c:order val="11"/>
          <c:tx>
            <c:strRef>
              <c:f>'Comparing all options'!$M$1</c:f>
              <c:strCache>
                <c:ptCount val="1"/>
                <c:pt idx="0">
                  <c:v>Sewer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options'!$M$2:$M$8</c:f>
              <c:numCache>
                <c:formatCode>_("$"* #,##0.00_);_("$"* \(#,##0.00\);_("$"* "-"??_);_(@_)</c:formatCode>
                <c:ptCount val="7"/>
                <c:pt idx="0">
                  <c:v>7200</c:v>
                </c:pt>
                <c:pt idx="1">
                  <c:v>7200</c:v>
                </c:pt>
                <c:pt idx="2">
                  <c:v>0</c:v>
                </c:pt>
                <c:pt idx="3">
                  <c:v>578.88</c:v>
                </c:pt>
                <c:pt idx="4">
                  <c:v>1447.2</c:v>
                </c:pt>
                <c:pt idx="5">
                  <c:v>385.92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3E-4C71-A7FE-9753E54E6F93}"/>
            </c:ext>
          </c:extLst>
        </c:ser>
        <c:ser>
          <c:idx val="12"/>
          <c:order val="12"/>
          <c:tx>
            <c:strRef>
              <c:f>'Comparing all options'!$N$1</c:f>
              <c:strCache>
                <c:ptCount val="1"/>
                <c:pt idx="0">
                  <c:v>IoT fee (Not Recommended)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options'!$A$2:$A$8</c:f>
              <c:strCache>
                <c:ptCount val="7"/>
                <c:pt idx="0">
                  <c:v>Current 1</c:v>
                </c:pt>
                <c:pt idx="1">
                  <c:v>Current 2</c:v>
                </c:pt>
                <c:pt idx="2">
                  <c:v>Grinder: Grind2Energy</c:v>
                </c:pt>
                <c:pt idx="3">
                  <c:v>Pulper 1: Tri-Cycle Unit</c:v>
                </c:pt>
                <c:pt idx="4">
                  <c:v>Pulper 2: Waste Xpress</c:v>
                </c:pt>
                <c:pt idx="5">
                  <c:v>Pulper 3: Somat</c:v>
                </c:pt>
                <c:pt idx="6">
                  <c:v>Off-siteGrinder</c:v>
                </c:pt>
              </c:strCache>
            </c:strRef>
          </c:cat>
          <c:val>
            <c:numRef>
              <c:f>'Comparing all options'!$N$2:$N$8</c:f>
            </c:numRef>
          </c:val>
          <c:extLst>
            <c:ext xmlns:c16="http://schemas.microsoft.com/office/drawing/2014/chart" uri="{C3380CC4-5D6E-409C-BE32-E72D297353CC}">
              <c16:uniqueId val="{0000000C-533E-4C71-A7FE-9753E54E6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562072"/>
        <c:axId val="468563712"/>
      </c:barChart>
      <c:catAx>
        <c:axId val="4685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63712"/>
        <c:crosses val="autoZero"/>
        <c:auto val="1"/>
        <c:lblAlgn val="ctr"/>
        <c:lblOffset val="100"/>
        <c:noMultiLvlLbl val="0"/>
      </c:catAx>
      <c:valAx>
        <c:axId val="468563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56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Cost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'Comparing all options'!$B$11</c:f>
              <c:strCache>
                <c:ptCount val="1"/>
                <c:pt idx="0">
                  <c:v>Capital Cost (Equipment, Collection bins and construction)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options'!$B$12:$B$15</c:f>
            </c:numRef>
          </c:val>
          <c:extLst>
            <c:ext xmlns:c16="http://schemas.microsoft.com/office/drawing/2014/chart" uri="{C3380CC4-5D6E-409C-BE32-E72D297353CC}">
              <c16:uniqueId val="{00000000-3459-4462-8BD4-5EEB5B6891B4}"/>
            </c:ext>
          </c:extLst>
        </c:ser>
        <c:ser>
          <c:idx val="1"/>
          <c:order val="1"/>
          <c:tx>
            <c:strRef>
              <c:f>'Comparing all options'!$C$11</c:f>
              <c:strCache>
                <c:ptCount val="1"/>
                <c:pt idx="0">
                  <c:v>Annual Capital Cost (Amortized)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options'!$C$12:$C$15</c:f>
              <c:numCache>
                <c:formatCode>"$"#,##0_);[Red]\("$"#,##0\)</c:formatCode>
                <c:ptCount val="4"/>
                <c:pt idx="0">
                  <c:v>106400</c:v>
                </c:pt>
                <c:pt idx="1">
                  <c:v>33150</c:v>
                </c:pt>
                <c:pt idx="2">
                  <c:v>27725</c:v>
                </c:pt>
                <c:pt idx="3">
                  <c:v>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9-4462-8BD4-5EEB5B6891B4}"/>
            </c:ext>
          </c:extLst>
        </c:ser>
        <c:ser>
          <c:idx val="2"/>
          <c:order val="2"/>
          <c:tx>
            <c:strRef>
              <c:f>'Comparing all options'!$D$11</c:f>
              <c:strCache>
                <c:ptCount val="1"/>
                <c:pt idx="0">
                  <c:v>Operating Cost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options'!$D$12:$D$15</c:f>
            </c:numRef>
          </c:val>
          <c:extLst>
            <c:ext xmlns:c16="http://schemas.microsoft.com/office/drawing/2014/chart" uri="{C3380CC4-5D6E-409C-BE32-E72D297353CC}">
              <c16:uniqueId val="{00000002-3459-4462-8BD4-5EEB5B6891B4}"/>
            </c:ext>
          </c:extLst>
        </c:ser>
        <c:ser>
          <c:idx val="3"/>
          <c:order val="3"/>
          <c:tx>
            <c:strRef>
              <c:f>'Comparing all options'!$E$11</c:f>
              <c:strCache>
                <c:ptCount val="1"/>
                <c:pt idx="0">
                  <c:v>Biomix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options'!$E$12:$E$15</c:f>
              <c:numCache>
                <c:formatCode>General</c:formatCode>
                <c:ptCount val="4"/>
                <c:pt idx="0" formatCode="&quot;$&quot;#,##0_);[Red]\(&quot;$&quot;#,##0\)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9-4462-8BD4-5EEB5B6891B4}"/>
            </c:ext>
          </c:extLst>
        </c:ser>
        <c:ser>
          <c:idx val="4"/>
          <c:order val="4"/>
          <c:tx>
            <c:strRef>
              <c:f>'Comparing all options'!$F$11</c:f>
              <c:strCache>
                <c:ptCount val="1"/>
                <c:pt idx="0">
                  <c:v>Electricity Aerobic Treatment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options'!$F$12:$F$15</c:f>
              <c:numCache>
                <c:formatCode>General</c:formatCode>
                <c:ptCount val="4"/>
                <c:pt idx="0" formatCode="&quot;$&quot;#,##0_);[Red]\(&quot;$&quot;#,##0\)">
                  <c:v>4665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9-4462-8BD4-5EEB5B6891B4}"/>
            </c:ext>
          </c:extLst>
        </c:ser>
        <c:ser>
          <c:idx val="5"/>
          <c:order val="5"/>
          <c:tx>
            <c:strRef>
              <c:f>'Comparing all options'!$G$11</c:f>
              <c:strCache>
                <c:ptCount val="1"/>
                <c:pt idx="0">
                  <c:v>Maintenance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options'!$G$12:$G$15</c:f>
              <c:numCache>
                <c:formatCode>"$"#,##0_);[Red]\("$"#,##0\)</c:formatCode>
                <c:ptCount val="4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59-4462-8BD4-5EEB5B6891B4}"/>
            </c:ext>
          </c:extLst>
        </c:ser>
        <c:ser>
          <c:idx val="6"/>
          <c:order val="6"/>
          <c:tx>
            <c:strRef>
              <c:f>'Comparing all options'!$H$11</c:f>
              <c:strCache>
                <c:ptCount val="1"/>
                <c:pt idx="0">
                  <c:v>UCSD Delivered Waste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options'!$H$12:$H$15</c:f>
              <c:numCache>
                <c:formatCode>"$"#,##0_);[Red]\("$"#,##0\)</c:formatCode>
                <c:ptCount val="4"/>
                <c:pt idx="0" formatCode="General">
                  <c:v>0</c:v>
                </c:pt>
                <c:pt idx="1">
                  <c:v>24200</c:v>
                </c:pt>
                <c:pt idx="2">
                  <c:v>3475</c:v>
                </c:pt>
                <c:pt idx="3">
                  <c:v>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59-4462-8BD4-5EEB5B6891B4}"/>
            </c:ext>
          </c:extLst>
        </c:ser>
        <c:ser>
          <c:idx val="7"/>
          <c:order val="7"/>
          <c:tx>
            <c:strRef>
              <c:f>'Comparing all options'!$I$11</c:f>
              <c:strCache>
                <c:ptCount val="1"/>
                <c:pt idx="0">
                  <c:v>Hauling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options'!$I$12:$I$15</c:f>
              <c:numCache>
                <c:formatCode>"$"#,##0_);[Red]\("$"#,##0\)</c:formatCode>
                <c:ptCount val="4"/>
                <c:pt idx="0" formatCode="General">
                  <c:v>0</c:v>
                </c:pt>
                <c:pt idx="1">
                  <c:v>8050</c:v>
                </c:pt>
                <c:pt idx="2">
                  <c:v>19200</c:v>
                </c:pt>
                <c:pt idx="3">
                  <c:v>38400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59-4462-8BD4-5EEB5B6891B4}"/>
            </c:ext>
          </c:extLst>
        </c:ser>
        <c:ser>
          <c:idx val="8"/>
          <c:order val="8"/>
          <c:tx>
            <c:strRef>
              <c:f>'Comparing all options'!$J$11</c:f>
              <c:strCache>
                <c:ptCount val="1"/>
                <c:pt idx="0">
                  <c:v>Labor Cost (at UofI + UCSD)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options'!$J$12:$J$15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&quot;$&quot;#,##0_);[Red]\(&quot;$&quot;#,##0\)">
                  <c:v>4800</c:v>
                </c:pt>
                <c:pt idx="3" formatCode="&quot;$&quot;#,##0_);[Red]\(&quot;$&quot;#,##0\)">
                  <c:v>28320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59-4462-8BD4-5EEB5B6891B4}"/>
            </c:ext>
          </c:extLst>
        </c:ser>
        <c:ser>
          <c:idx val="9"/>
          <c:order val="9"/>
          <c:tx>
            <c:strRef>
              <c:f>'Comparing all options'!$K$11</c:f>
              <c:strCache>
                <c:ptCount val="1"/>
                <c:pt idx="0">
                  <c:v>Electricity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options'!$K$12:$K$15</c:f>
              <c:numCache>
                <c:formatCode>"$"#,##0_);[Red]\("$"#,##0\)</c:formatCode>
                <c:ptCount val="4"/>
                <c:pt idx="0">
                  <c:v>800</c:v>
                </c:pt>
                <c:pt idx="1">
                  <c:v>600</c:v>
                </c:pt>
                <c:pt idx="2">
                  <c:v>1050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59-4462-8BD4-5EEB5B6891B4}"/>
            </c:ext>
          </c:extLst>
        </c:ser>
        <c:ser>
          <c:idx val="10"/>
          <c:order val="10"/>
          <c:tx>
            <c:strRef>
              <c:f>'Comparing all options'!$L$11</c:f>
              <c:strCache>
                <c:ptCount val="1"/>
                <c:pt idx="0">
                  <c:v>Freshwater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options'!$L$12:$L$15</c:f>
              <c:numCache>
                <c:formatCode>"$"#,##0_);[Red]\("$"#,##0\)</c:formatCode>
                <c:ptCount val="4"/>
                <c:pt idx="0">
                  <c:v>1200</c:v>
                </c:pt>
                <c:pt idx="1">
                  <c:v>480</c:v>
                </c:pt>
                <c:pt idx="2">
                  <c:v>725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59-4462-8BD4-5EEB5B6891B4}"/>
            </c:ext>
          </c:extLst>
        </c:ser>
        <c:ser>
          <c:idx val="11"/>
          <c:order val="11"/>
          <c:tx>
            <c:strRef>
              <c:f>'Comparing all options'!$M$11</c:f>
              <c:strCache>
                <c:ptCount val="1"/>
                <c:pt idx="0">
                  <c:v>Sewer Discharge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lt1">
                    <a:lumMod val="95000"/>
                  </a:schemeClr>
                </a:solidFill>
                <a:round/>
              </a:ln>
              <a:effectLst/>
            </c:spPr>
          </c:errBars>
          <c:cat>
            <c:strRef>
              <c:f>'Comparing all options'!$A$12:$A$15</c:f>
              <c:strCache>
                <c:ptCount val="4"/>
                <c:pt idx="0">
                  <c:v>Current</c:v>
                </c:pt>
                <c:pt idx="1">
                  <c:v>Slurry</c:v>
                </c:pt>
                <c:pt idx="2">
                  <c:v>Pulped</c:v>
                </c:pt>
                <c:pt idx="3">
                  <c:v>Off-site Grinder</c:v>
                </c:pt>
              </c:strCache>
            </c:strRef>
          </c:cat>
          <c:val>
            <c:numRef>
              <c:f>'Comparing all options'!$M$12:$M$15</c:f>
              <c:numCache>
                <c:formatCode>General</c:formatCode>
                <c:ptCount val="4"/>
                <c:pt idx="0" formatCode="&quot;$&quot;#,##0_);[Red]\(&quot;$&quot;#,##0\)">
                  <c:v>7200</c:v>
                </c:pt>
                <c:pt idx="1">
                  <c:v>0</c:v>
                </c:pt>
                <c:pt idx="2" formatCode="&quot;$&quot;#,##0_);[Red]\(&quot;$&quot;#,##0\)">
                  <c:v>580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59-4462-8BD4-5EEB5B689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576280"/>
        <c:axId val="476573656"/>
      </c:barChart>
      <c:catAx>
        <c:axId val="47657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73656"/>
        <c:crosses val="autoZero"/>
        <c:auto val="1"/>
        <c:lblAlgn val="ctr"/>
        <c:lblOffset val="100"/>
        <c:noMultiLvlLbl val="0"/>
      </c:catAx>
      <c:valAx>
        <c:axId val="476573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7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33337</xdr:rowOff>
    </xdr:from>
    <xdr:to>
      <xdr:col>5</xdr:col>
      <xdr:colOff>4048124</xdr:colOff>
      <xdr:row>55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44440-D44A-435E-9A94-7479A67EB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381001</xdr:colOff>
      <xdr:row>25</xdr:row>
      <xdr:rowOff>71440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1ACE0-C616-4AAB-8E08-5256EF725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26</xdr:row>
      <xdr:rowOff>57150</xdr:rowOff>
    </xdr:from>
    <xdr:to>
      <xdr:col>11</xdr:col>
      <xdr:colOff>533400</xdr:colOff>
      <xdr:row>51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9D9742-16DD-4CE1-B525-1A2E4D3E1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3C74-3CFC-42A8-A649-0B568B9A0BC8}">
  <dimension ref="A1:O41"/>
  <sheetViews>
    <sheetView tabSelected="1" zoomScaleNormal="100" workbookViewId="0">
      <selection activeCell="B4" sqref="B4"/>
    </sheetView>
  </sheetViews>
  <sheetFormatPr defaultRowHeight="15" x14ac:dyDescent="0.25"/>
  <cols>
    <col min="1" max="1" width="35.28515625" bestFit="1" customWidth="1"/>
    <col min="2" max="2" width="14.28515625" bestFit="1" customWidth="1"/>
    <col min="3" max="3" width="19" bestFit="1" customWidth="1"/>
    <col min="4" max="4" width="12.5703125" bestFit="1" customWidth="1"/>
    <col min="5" max="5" width="13.5703125" bestFit="1" customWidth="1"/>
    <col min="6" max="6" width="60.7109375" customWidth="1"/>
    <col min="7" max="7" width="18.28515625" bestFit="1" customWidth="1"/>
    <col min="8" max="8" width="17.5703125" bestFit="1" customWidth="1"/>
    <col min="9" max="9" width="17.85546875" bestFit="1" customWidth="1"/>
    <col min="10" max="10" width="26.42578125" bestFit="1" customWidth="1"/>
  </cols>
  <sheetData>
    <row r="1" spans="1:15" ht="45" customHeight="1" x14ac:dyDescent="0.35">
      <c r="A1" s="393" t="s">
        <v>432</v>
      </c>
      <c r="B1" s="393"/>
      <c r="C1" s="393"/>
      <c r="D1" s="393"/>
      <c r="E1" s="393"/>
      <c r="F1" s="393"/>
    </row>
    <row r="2" spans="1:15" x14ac:dyDescent="0.25">
      <c r="A2" s="64" t="s">
        <v>436</v>
      </c>
      <c r="B2" s="64">
        <v>12</v>
      </c>
    </row>
    <row r="3" spans="1:15" x14ac:dyDescent="0.25">
      <c r="A3" s="57" t="s">
        <v>429</v>
      </c>
      <c r="B3" s="57">
        <v>2</v>
      </c>
      <c r="D3" s="64" t="s">
        <v>414</v>
      </c>
      <c r="E3" s="64" t="s">
        <v>422</v>
      </c>
      <c r="F3" s="64" t="s">
        <v>435</v>
      </c>
      <c r="G3" s="64" t="s">
        <v>415</v>
      </c>
      <c r="H3" s="64" t="s">
        <v>416</v>
      </c>
      <c r="I3" s="333" t="s">
        <v>434</v>
      </c>
      <c r="J3" s="333" t="s">
        <v>433</v>
      </c>
      <c r="N3">
        <f>'Food waste'!C33</f>
        <v>5.2634913451747938</v>
      </c>
      <c r="O3">
        <v>3685</v>
      </c>
    </row>
    <row r="4" spans="1:15" x14ac:dyDescent="0.25">
      <c r="A4" s="334" t="s">
        <v>413</v>
      </c>
      <c r="B4" s="64">
        <f>INDEX(D4:J10,MATCH(B3,D4:D10,0),5)</f>
        <v>3127.467842107003</v>
      </c>
      <c r="D4" s="64">
        <v>6</v>
      </c>
      <c r="E4" s="64">
        <v>0</v>
      </c>
      <c r="F4" s="160">
        <v>12</v>
      </c>
      <c r="G4" s="160">
        <f>O5</f>
        <v>8401.2677327830788</v>
      </c>
      <c r="H4" s="160">
        <f t="shared" ref="H4:H10" si="0">G4-(F4*250)</f>
        <v>5401.2677327830788</v>
      </c>
      <c r="I4" s="196">
        <v>0</v>
      </c>
      <c r="J4" s="160">
        <f>12-F4</f>
        <v>0</v>
      </c>
      <c r="N4">
        <f>N6</f>
        <v>8.5435003959723961</v>
      </c>
      <c r="O4">
        <f>O3/N3*N4</f>
        <v>5981.3528501418623</v>
      </c>
    </row>
    <row r="5" spans="1:15" x14ac:dyDescent="0.25">
      <c r="A5" s="334" t="s">
        <v>418</v>
      </c>
      <c r="B5" s="64">
        <f>INDEX(D4:J10,MATCH(B3,D4:D10,0),4)</f>
        <v>4864.5421717823056</v>
      </c>
      <c r="D5" s="64">
        <v>5</v>
      </c>
      <c r="E5" s="64">
        <v>1</v>
      </c>
      <c r="F5" s="160">
        <f>'Food waste'!C33+'Food waste'!C32+'Food waste'!C34+'Food waste'!C31+'Food waste'!C35</f>
        <v>11.471885959950223</v>
      </c>
      <c r="G5" s="160">
        <f>$G$4/$F$4*F5</f>
        <v>8031.5321124580869</v>
      </c>
      <c r="H5" s="160">
        <f t="shared" si="0"/>
        <v>5163.5606224705316</v>
      </c>
      <c r="I5" s="160">
        <f>INT('Food waste'!T30*7/3)+1</f>
        <v>5</v>
      </c>
      <c r="J5" s="160">
        <f t="shared" ref="J4:J9" si="1">12-F5</f>
        <v>0.52811404004977724</v>
      </c>
      <c r="N5">
        <v>12</v>
      </c>
      <c r="O5">
        <f>O4/N4*N5</f>
        <v>8401.2677327830788</v>
      </c>
    </row>
    <row r="6" spans="1:15" x14ac:dyDescent="0.25">
      <c r="A6" s="57" t="s">
        <v>430</v>
      </c>
      <c r="B6" s="57">
        <f>6-B3</f>
        <v>4</v>
      </c>
      <c r="D6" s="64">
        <v>4</v>
      </c>
      <c r="E6" s="64">
        <v>2</v>
      </c>
      <c r="F6" s="160">
        <f>'Food waste'!C33+'Food waste'!C32+'Food waste'!C34+'Food waste'!C31</f>
        <v>10.089829166195273</v>
      </c>
      <c r="G6" s="160">
        <f>$G$4/$F$4*F6</f>
        <v>7063.9463502708286</v>
      </c>
      <c r="H6" s="160">
        <f t="shared" si="0"/>
        <v>4541.4890587220107</v>
      </c>
      <c r="I6" s="160">
        <f>INT(('Food waste'!T30+'Food waste'!T35)*7/3)+1</f>
        <v>15</v>
      </c>
      <c r="J6" s="160">
        <f t="shared" si="1"/>
        <v>1.9101708338047274</v>
      </c>
      <c r="N6">
        <f>12-N7</f>
        <v>8.5435003959723961</v>
      </c>
      <c r="O6">
        <f>N6*250</f>
        <v>2135.8750989930991</v>
      </c>
    </row>
    <row r="7" spans="1:15" x14ac:dyDescent="0.25">
      <c r="A7" s="334" t="s">
        <v>410</v>
      </c>
      <c r="B7" s="64">
        <f>INDEX(D4:J10,MATCH(B3,D4:D10,0),6)</f>
        <v>38</v>
      </c>
      <c r="D7" s="64">
        <v>3</v>
      </c>
      <c r="E7" s="64">
        <v>3</v>
      </c>
      <c r="F7" s="160">
        <f>'Food waste'!C33+'Food waste'!C32+'Food waste'!C34</f>
        <v>8.5435003959723961</v>
      </c>
      <c r="G7" s="160">
        <f>$G$4/$F$4*F7</f>
        <v>5981.3528501418623</v>
      </c>
      <c r="H7" s="160">
        <f t="shared" si="0"/>
        <v>3845.4777511487632</v>
      </c>
      <c r="I7" s="160">
        <f>INT(('Food waste'!T30+'Food waste'!T35+'Food waste'!T31)*7/3)+1</f>
        <v>26</v>
      </c>
      <c r="J7" s="160">
        <f t="shared" si="1"/>
        <v>3.4564996040276039</v>
      </c>
      <c r="N7">
        <f>12-'Food waste'!C33-'Food waste'!C32-'Food waste'!C34</f>
        <v>3.4564996040276039</v>
      </c>
    </row>
    <row r="8" spans="1:15" x14ac:dyDescent="0.25">
      <c r="A8" s="334" t="s">
        <v>411</v>
      </c>
      <c r="B8" s="64">
        <f>INDEX(D4:J10,MATCH(B3,D4:D10,0),7)</f>
        <v>5.0517026812987886</v>
      </c>
      <c r="D8" s="64">
        <v>2</v>
      </c>
      <c r="E8" s="64">
        <v>4</v>
      </c>
      <c r="F8" s="160">
        <f>'Food waste'!C33+'Food waste'!C32</f>
        <v>6.9482973187012114</v>
      </c>
      <c r="G8" s="160">
        <f>$G$4/$F$4*F8</f>
        <v>4864.5421717823056</v>
      </c>
      <c r="H8" s="160">
        <f t="shared" si="0"/>
        <v>3127.467842107003</v>
      </c>
      <c r="I8" s="160">
        <f>INT(('Food waste'!T30+'Food waste'!T35+'Food waste'!T31+'Food waste'!T34)*7/3)+1</f>
        <v>38</v>
      </c>
      <c r="J8" s="160">
        <f t="shared" si="1"/>
        <v>5.0517026812987886</v>
      </c>
    </row>
    <row r="9" spans="1:15" x14ac:dyDescent="0.25">
      <c r="D9" s="331">
        <v>1</v>
      </c>
      <c r="E9" s="64">
        <v>5</v>
      </c>
      <c r="F9" s="160">
        <f>'Food waste'!C33</f>
        <v>5.2634913451747938</v>
      </c>
      <c r="G9" s="160">
        <f>$G$4/$F$4*F9</f>
        <v>3685</v>
      </c>
      <c r="H9" s="160">
        <f t="shared" si="0"/>
        <v>2369.1271637063019</v>
      </c>
      <c r="I9" s="160">
        <f>INT(('Food waste'!T30+'Food waste'!T35+'Food waste'!T31+'Food waste'!T34+'Food waste'!T32)*7/3)+1</f>
        <v>50</v>
      </c>
      <c r="J9" s="160">
        <f t="shared" si="1"/>
        <v>6.7365086548252062</v>
      </c>
    </row>
    <row r="10" spans="1:15" x14ac:dyDescent="0.25">
      <c r="D10" s="331">
        <v>0</v>
      </c>
      <c r="E10" s="64">
        <v>6</v>
      </c>
      <c r="F10" s="160">
        <v>0</v>
      </c>
      <c r="G10" s="160">
        <v>0</v>
      </c>
      <c r="H10" s="160">
        <f t="shared" si="0"/>
        <v>0</v>
      </c>
      <c r="I10" s="160">
        <f>INT((SUM('Food waste'!T30:T35)*7/3)+1)</f>
        <v>87</v>
      </c>
      <c r="J10" s="160">
        <f>12-F10</f>
        <v>12</v>
      </c>
    </row>
    <row r="14" spans="1:15" x14ac:dyDescent="0.25">
      <c r="A14" s="336" t="s">
        <v>419</v>
      </c>
      <c r="B14" s="336"/>
      <c r="C14" s="336"/>
      <c r="D14" s="336"/>
      <c r="E14" s="336"/>
      <c r="F14" s="154"/>
    </row>
    <row r="15" spans="1:15" x14ac:dyDescent="0.25">
      <c r="A15" s="101"/>
      <c r="B15" s="91" t="s">
        <v>144</v>
      </c>
      <c r="C15" s="337" t="s">
        <v>145</v>
      </c>
      <c r="D15" s="337"/>
      <c r="E15" s="337"/>
      <c r="F15" s="154"/>
    </row>
    <row r="16" spans="1:15" x14ac:dyDescent="0.25">
      <c r="A16" s="101"/>
      <c r="B16" s="392" t="str">
        <f>D16</f>
        <v>Medium</v>
      </c>
      <c r="C16" s="91" t="s">
        <v>146</v>
      </c>
      <c r="D16" s="91" t="s">
        <v>147</v>
      </c>
      <c r="E16" s="91" t="s">
        <v>148</v>
      </c>
      <c r="F16" s="154"/>
    </row>
    <row r="17" spans="1:6" ht="30" x14ac:dyDescent="0.25">
      <c r="A17" s="170" t="s">
        <v>409</v>
      </c>
      <c r="B17" s="92">
        <f>59950*B3</f>
        <v>119900</v>
      </c>
      <c r="C17" s="92">
        <v>0</v>
      </c>
      <c r="D17" s="92">
        <v>0</v>
      </c>
      <c r="E17" s="92">
        <v>0</v>
      </c>
      <c r="F17" s="154" t="s">
        <v>401</v>
      </c>
    </row>
    <row r="18" spans="1:6" x14ac:dyDescent="0.25">
      <c r="A18" s="170" t="s">
        <v>402</v>
      </c>
      <c r="B18" s="92"/>
      <c r="C18" s="92">
        <f>65000*IF(B6=0,0,1)</f>
        <v>65000</v>
      </c>
      <c r="D18" s="92">
        <f>85000*IF(B6=0,0,1)</f>
        <v>85000</v>
      </c>
      <c r="E18" s="92">
        <f>110000*IF(B6=0,0,1)</f>
        <v>110000</v>
      </c>
      <c r="F18" s="154"/>
    </row>
    <row r="19" spans="1:6" x14ac:dyDescent="0.25">
      <c r="A19" s="101" t="s">
        <v>177</v>
      </c>
      <c r="B19" s="92">
        <f>B7*80</f>
        <v>3040</v>
      </c>
      <c r="C19" s="92">
        <f>B19*0.9</f>
        <v>2736</v>
      </c>
      <c r="D19" s="92">
        <f>B19</f>
        <v>3040</v>
      </c>
      <c r="E19" s="92">
        <f>B19*1.1</f>
        <v>3344.0000000000005</v>
      </c>
      <c r="F19" s="154" t="s">
        <v>403</v>
      </c>
    </row>
    <row r="20" spans="1:6" x14ac:dyDescent="0.25">
      <c r="A20" s="101"/>
      <c r="B20" s="92"/>
      <c r="C20" s="92"/>
      <c r="D20" s="92"/>
      <c r="E20" s="92"/>
      <c r="F20" s="154"/>
    </row>
    <row r="21" spans="1:6" x14ac:dyDescent="0.25">
      <c r="A21" s="105" t="s">
        <v>103</v>
      </c>
      <c r="B21" s="92"/>
      <c r="C21" s="92">
        <f>SUM(C17:C19)</f>
        <v>67736</v>
      </c>
      <c r="D21" s="92">
        <f>SUM(D17:D19)</f>
        <v>88040</v>
      </c>
      <c r="E21" s="92">
        <f>SUM(E17:E19)</f>
        <v>113344</v>
      </c>
      <c r="F21" s="154"/>
    </row>
    <row r="22" spans="1:6" x14ac:dyDescent="0.25">
      <c r="A22" s="101"/>
      <c r="B22" s="92"/>
      <c r="C22" s="94" t="s">
        <v>151</v>
      </c>
      <c r="D22" s="94"/>
      <c r="E22" s="94"/>
      <c r="F22" s="154"/>
    </row>
    <row r="23" spans="1:6" ht="30" x14ac:dyDescent="0.25">
      <c r="A23" s="98" t="s">
        <v>103</v>
      </c>
      <c r="B23" s="71">
        <f>D23</f>
        <v>207940</v>
      </c>
      <c r="C23" s="92">
        <f>C21+$B$17</f>
        <v>187636</v>
      </c>
      <c r="D23" s="92">
        <f t="shared" ref="D23:E23" si="2">D21+$B$17</f>
        <v>207940</v>
      </c>
      <c r="E23" s="92">
        <f t="shared" si="2"/>
        <v>233244</v>
      </c>
      <c r="F23" s="154" t="s">
        <v>260</v>
      </c>
    </row>
    <row r="24" spans="1:6" ht="30" x14ac:dyDescent="0.25">
      <c r="A24" s="101" t="s">
        <v>270</v>
      </c>
      <c r="B24" s="147">
        <v>0.03</v>
      </c>
      <c r="C24" s="148">
        <v>0.03</v>
      </c>
      <c r="D24" s="148">
        <v>0.03</v>
      </c>
      <c r="E24" s="148">
        <v>0.03</v>
      </c>
      <c r="F24" s="154" t="s">
        <v>271</v>
      </c>
    </row>
    <row r="25" spans="1:6" x14ac:dyDescent="0.25">
      <c r="A25" s="101" t="s">
        <v>273</v>
      </c>
      <c r="B25" s="149">
        <v>15</v>
      </c>
      <c r="C25" s="150">
        <v>15</v>
      </c>
      <c r="D25" s="150">
        <v>15</v>
      </c>
      <c r="E25" s="150">
        <v>15</v>
      </c>
      <c r="F25" s="154" t="s">
        <v>272</v>
      </c>
    </row>
    <row r="26" spans="1:6" x14ac:dyDescent="0.25">
      <c r="A26" s="101" t="s">
        <v>274</v>
      </c>
      <c r="B26" s="160">
        <f>(((1+B24)^B25)-1)/(B24*(1+B24)^B25)</f>
        <v>11.937935086776077</v>
      </c>
      <c r="C26" s="160">
        <f>(((1+C24)^C25)-1)/(C24*(1+C24)^C25)</f>
        <v>11.937935086776077</v>
      </c>
      <c r="D26" s="160">
        <f>(((1+D24)^D25)-1)/(D24*(1+D24)^D25)</f>
        <v>11.937935086776077</v>
      </c>
      <c r="E26" s="160">
        <f>(((1+E24)^E25)-1)/(E24*(1+E24)^E25)</f>
        <v>11.937935086776077</v>
      </c>
      <c r="F26" s="154"/>
    </row>
    <row r="27" spans="1:6" ht="30" x14ac:dyDescent="0.25">
      <c r="A27" s="101" t="s">
        <v>269</v>
      </c>
      <c r="B27" s="91">
        <f>B23/B26</f>
        <v>17418.422741328177</v>
      </c>
      <c r="C27" s="92">
        <f>C23/C26</f>
        <v>15717.626091621882</v>
      </c>
      <c r="D27" s="92">
        <f>D23/D26</f>
        <v>17418.422741328177</v>
      </c>
      <c r="E27" s="92">
        <f>E23/E26</f>
        <v>19538.052293345914</v>
      </c>
      <c r="F27" s="154" t="s">
        <v>275</v>
      </c>
    </row>
    <row r="28" spans="1:6" x14ac:dyDescent="0.25">
      <c r="A28" s="98"/>
      <c r="B28" s="92"/>
      <c r="C28" s="92"/>
      <c r="D28" s="92"/>
      <c r="E28" s="92"/>
      <c r="F28" s="154"/>
    </row>
    <row r="29" spans="1:6" x14ac:dyDescent="0.25">
      <c r="A29" s="101" t="s">
        <v>211</v>
      </c>
      <c r="B29" s="92"/>
      <c r="C29" s="92"/>
      <c r="D29" s="92"/>
      <c r="E29" s="92"/>
      <c r="F29" s="154"/>
    </row>
    <row r="30" spans="1:6" ht="30" x14ac:dyDescent="0.25">
      <c r="A30" s="104" t="s">
        <v>153</v>
      </c>
      <c r="B30" s="92">
        <f>100*B3</f>
        <v>200</v>
      </c>
      <c r="C30" s="92">
        <f>B30*0.9</f>
        <v>180</v>
      </c>
      <c r="D30" s="92">
        <f>B30*1</f>
        <v>200</v>
      </c>
      <c r="E30" s="92">
        <f>B30*1.1</f>
        <v>220.00000000000003</v>
      </c>
      <c r="F30" s="154" t="s">
        <v>182</v>
      </c>
    </row>
    <row r="31" spans="1:6" x14ac:dyDescent="0.25">
      <c r="A31" s="104" t="s">
        <v>154</v>
      </c>
      <c r="B31" s="92">
        <v>0</v>
      </c>
      <c r="C31" s="92">
        <f t="shared" ref="C31:C32" si="3">B31*0.9</f>
        <v>0</v>
      </c>
      <c r="D31" s="92">
        <f t="shared" ref="D31:D32" si="4">B31*1</f>
        <v>0</v>
      </c>
      <c r="E31" s="92">
        <f t="shared" ref="E31:E32" si="5">B31*1.1</f>
        <v>0</v>
      </c>
      <c r="F31" s="95" t="s">
        <v>263</v>
      </c>
    </row>
    <row r="32" spans="1:6" x14ac:dyDescent="0.25">
      <c r="A32" s="104" t="s">
        <v>155</v>
      </c>
      <c r="B32" s="92">
        <f>B4*4.18*32/1000</f>
        <v>418.33009856023267</v>
      </c>
      <c r="C32" s="92">
        <f t="shared" si="3"/>
        <v>376.49708870420943</v>
      </c>
      <c r="D32" s="92">
        <f t="shared" si="4"/>
        <v>418.33009856023267</v>
      </c>
      <c r="E32" s="92">
        <f t="shared" si="5"/>
        <v>460.16310841625597</v>
      </c>
      <c r="F32" s="154" t="s">
        <v>417</v>
      </c>
    </row>
    <row r="33" spans="1:6" ht="45" x14ac:dyDescent="0.25">
      <c r="A33" s="104" t="s">
        <v>405</v>
      </c>
      <c r="B33" s="92">
        <f>B5*30*32/1000</f>
        <v>4669.9604849110137</v>
      </c>
      <c r="C33" s="92">
        <f>B5*20*32/1000</f>
        <v>3113.3069899406755</v>
      </c>
      <c r="D33" s="92">
        <f>B33</f>
        <v>4669.9604849110137</v>
      </c>
      <c r="E33" s="92">
        <f>B5*40*32/1000</f>
        <v>6226.613979881351</v>
      </c>
      <c r="F33" s="154" t="s">
        <v>404</v>
      </c>
    </row>
    <row r="34" spans="1:6" ht="30" x14ac:dyDescent="0.25">
      <c r="A34" s="104" t="s">
        <v>406</v>
      </c>
      <c r="B34" s="186">
        <f>D34</f>
        <v>19200</v>
      </c>
      <c r="C34" s="186">
        <f>50*3*32*3*IF(B7&lt;50,1,INT(B7/50)+1)*IF(B6=0,0,1)</f>
        <v>14400</v>
      </c>
      <c r="D34" s="186">
        <f>50*4*32*3*IF(B7&lt;50,1,INT(B7/50)+1)*IF(B6=0,0,1)</f>
        <v>19200</v>
      </c>
      <c r="E34" s="186">
        <f>50*6*32*3*IF(B7&lt;50,1,INT(B7/50)+1)*IF(B6=0,0,1)</f>
        <v>28800</v>
      </c>
      <c r="F34" s="154" t="s">
        <v>293</v>
      </c>
    </row>
    <row r="35" spans="1:6" ht="30" x14ac:dyDescent="0.25">
      <c r="A35" s="104" t="s">
        <v>407</v>
      </c>
      <c r="B35" s="92">
        <f>D35</f>
        <v>14009.88145473304</v>
      </c>
      <c r="C35" s="92">
        <f>0.04*B5*32</f>
        <v>6226.613979881351</v>
      </c>
      <c r="D35" s="92">
        <f>0.09*B5*32</f>
        <v>14009.88145473304</v>
      </c>
      <c r="E35" s="92">
        <f>0.11*B5*32</f>
        <v>17123.188444673717</v>
      </c>
      <c r="F35" s="154" t="s">
        <v>348</v>
      </c>
    </row>
    <row r="36" spans="1:6" x14ac:dyDescent="0.25">
      <c r="A36" s="104" t="s">
        <v>408</v>
      </c>
      <c r="B36" s="92">
        <f>B8*21.53*32*IF(B6=0,0,1)</f>
        <v>3480.4210793076136</v>
      </c>
      <c r="C36" s="92">
        <f>B36*0.9</f>
        <v>3132.3789713768524</v>
      </c>
      <c r="D36" s="92">
        <f>B36*1</f>
        <v>3480.4210793076136</v>
      </c>
      <c r="E36" s="92">
        <f>B36*1.1</f>
        <v>3828.4631872383752</v>
      </c>
      <c r="F36" s="154"/>
    </row>
    <row r="37" spans="1:6" ht="30" x14ac:dyDescent="0.25">
      <c r="A37" s="391" t="s">
        <v>431</v>
      </c>
      <c r="B37" s="8">
        <f>D37</f>
        <v>13440</v>
      </c>
      <c r="C37" s="8">
        <f>IF(B6=0,0,12*7*32*(IF(B6=6,(2+B6),B6)))</f>
        <v>10752</v>
      </c>
      <c r="D37" s="8">
        <f>IF(B6=0,0,15*7*32*(IF(B6=6,(2+B6),B6)))</f>
        <v>13440</v>
      </c>
      <c r="E37" s="8">
        <f>IF(B6=0,0,20*7*32*(IF(B6=6,(2+B6),B6)))</f>
        <v>17920</v>
      </c>
      <c r="F37" s="79" t="s">
        <v>420</v>
      </c>
    </row>
    <row r="38" spans="1:6" x14ac:dyDescent="0.25">
      <c r="A38" s="183" t="s">
        <v>297</v>
      </c>
      <c r="B38" s="186">
        <f>50*3*32</f>
        <v>4800</v>
      </c>
      <c r="C38" s="186">
        <f>B38*0.9</f>
        <v>4320</v>
      </c>
      <c r="D38" s="186">
        <f>B38</f>
        <v>4800</v>
      </c>
      <c r="E38" s="186">
        <f>B38*1.1</f>
        <v>5280</v>
      </c>
      <c r="F38" s="168" t="s">
        <v>298</v>
      </c>
    </row>
    <row r="39" spans="1:6" ht="30" x14ac:dyDescent="0.25">
      <c r="A39" s="104" t="s">
        <v>7</v>
      </c>
      <c r="B39" s="92">
        <f>'Current - Aerobic (EnviroPure)'!$B$59*B3</f>
        <v>5000</v>
      </c>
      <c r="C39" s="92">
        <f>B39*0.9</f>
        <v>4500</v>
      </c>
      <c r="D39" s="92">
        <f>B39*1</f>
        <v>5000</v>
      </c>
      <c r="E39" s="92">
        <f>B39*1.1</f>
        <v>5500</v>
      </c>
      <c r="F39" s="154" t="s">
        <v>191</v>
      </c>
    </row>
    <row r="40" spans="1:6" x14ac:dyDescent="0.25">
      <c r="A40" s="106" t="s">
        <v>214</v>
      </c>
      <c r="B40" s="94">
        <f>SUM(B30:B39)</f>
        <v>65218.593117511897</v>
      </c>
      <c r="C40" s="94">
        <f>SUM(C30:C39)</f>
        <v>47000.797029903086</v>
      </c>
      <c r="D40" s="94">
        <f>SUM(D30:D39)</f>
        <v>65218.593117511897</v>
      </c>
      <c r="E40" s="94">
        <f>SUM(E30:E39)</f>
        <v>85358.428720209689</v>
      </c>
      <c r="F40" s="154"/>
    </row>
    <row r="41" spans="1:6" x14ac:dyDescent="0.25">
      <c r="A41" s="105" t="s">
        <v>212</v>
      </c>
      <c r="B41" s="94">
        <f>B27+B40</f>
        <v>82637.015858840081</v>
      </c>
      <c r="C41" s="94">
        <f>C27+C40</f>
        <v>62718.423121524967</v>
      </c>
      <c r="D41" s="94">
        <f>D27+D40</f>
        <v>82637.015858840081</v>
      </c>
      <c r="E41" s="94">
        <f>E27+E40</f>
        <v>104896.4810135556</v>
      </c>
      <c r="F41" s="157" t="s">
        <v>213</v>
      </c>
    </row>
  </sheetData>
  <mergeCells count="3">
    <mergeCell ref="A14:E14"/>
    <mergeCell ref="C15:E15"/>
    <mergeCell ref="A1:F1"/>
  </mergeCells>
  <dataValidations count="1">
    <dataValidation type="list" allowBlank="1" showInputMessage="1" showErrorMessage="1" sqref="B3" xr:uid="{BC47FC22-2744-4637-A90D-D8EA12E5BC64}">
      <formula1>$D$4:$D$10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8"/>
  <sheetViews>
    <sheetView topLeftCell="A85" workbookViewId="0">
      <selection activeCell="A100" sqref="A100"/>
    </sheetView>
  </sheetViews>
  <sheetFormatPr defaultRowHeight="15" x14ac:dyDescent="0.25"/>
  <cols>
    <col min="1" max="1" width="38.140625" bestFit="1" customWidth="1"/>
    <col min="2" max="2" width="12.5703125" bestFit="1" customWidth="1"/>
    <col min="3" max="3" width="19" bestFit="1" customWidth="1"/>
    <col min="4" max="5" width="12.5703125" bestFit="1" customWidth="1"/>
    <col min="6" max="6" width="91.85546875" bestFit="1" customWidth="1"/>
    <col min="8" max="9" width="11.7109375" bestFit="1" customWidth="1"/>
    <col min="10" max="11" width="13.140625" bestFit="1" customWidth="1"/>
    <col min="12" max="12" width="12.5703125" bestFit="1" customWidth="1"/>
  </cols>
  <sheetData>
    <row r="1" spans="1:6" x14ac:dyDescent="0.25">
      <c r="A1" s="379" t="s">
        <v>208</v>
      </c>
      <c r="B1" s="379"/>
      <c r="C1" s="166"/>
      <c r="D1" s="166"/>
      <c r="E1" s="166"/>
      <c r="F1" s="166"/>
    </row>
    <row r="2" spans="1:6" x14ac:dyDescent="0.25">
      <c r="A2" s="167" t="s">
        <v>193</v>
      </c>
      <c r="B2" s="168">
        <v>24000</v>
      </c>
      <c r="C2" s="166"/>
      <c r="D2" s="166"/>
      <c r="E2" s="166"/>
      <c r="F2" s="166"/>
    </row>
    <row r="3" spans="1:6" x14ac:dyDescent="0.25">
      <c r="A3" s="170" t="s">
        <v>194</v>
      </c>
      <c r="B3" s="171">
        <f>B2/2000</f>
        <v>12</v>
      </c>
      <c r="C3" s="166"/>
      <c r="D3" s="166"/>
      <c r="E3" s="166"/>
      <c r="F3" s="166"/>
    </row>
    <row r="4" spans="1:6" x14ac:dyDescent="0.25">
      <c r="A4" s="173" t="s">
        <v>202</v>
      </c>
      <c r="B4" s="174">
        <v>0.15</v>
      </c>
      <c r="C4" s="166"/>
      <c r="D4" s="166"/>
      <c r="E4" s="166"/>
      <c r="F4" s="166"/>
    </row>
    <row r="5" spans="1:6" x14ac:dyDescent="0.25">
      <c r="A5" s="173" t="s">
        <v>203</v>
      </c>
      <c r="B5" s="174">
        <v>0.85</v>
      </c>
      <c r="C5" s="166"/>
      <c r="D5" s="166"/>
      <c r="E5" s="166"/>
      <c r="F5" s="166"/>
    </row>
    <row r="6" spans="1:6" x14ac:dyDescent="0.25">
      <c r="A6" s="167" t="s">
        <v>204</v>
      </c>
      <c r="B6" s="168">
        <f>B3*B4</f>
        <v>1.7999999999999998</v>
      </c>
      <c r="C6" s="166"/>
      <c r="D6" s="166"/>
      <c r="E6" s="166"/>
      <c r="F6" s="166"/>
    </row>
    <row r="7" spans="1:6" x14ac:dyDescent="0.25">
      <c r="A7" s="167" t="s">
        <v>280</v>
      </c>
      <c r="B7" s="168">
        <v>0</v>
      </c>
      <c r="C7" s="166"/>
      <c r="D7" s="166"/>
      <c r="E7" s="166"/>
      <c r="F7" s="166"/>
    </row>
    <row r="8" spans="1:6" x14ac:dyDescent="0.25">
      <c r="A8" s="167" t="s">
        <v>281</v>
      </c>
      <c r="B8" s="168">
        <f>B7/250</f>
        <v>0</v>
      </c>
      <c r="C8" s="166"/>
      <c r="D8" s="166"/>
      <c r="E8" s="166"/>
      <c r="F8" s="166"/>
    </row>
    <row r="9" spans="1:6" x14ac:dyDescent="0.25">
      <c r="A9" s="167"/>
      <c r="B9" s="168"/>
      <c r="C9" s="166"/>
      <c r="D9" s="166"/>
      <c r="E9" s="166"/>
      <c r="F9" s="166"/>
    </row>
    <row r="10" spans="1:6" x14ac:dyDescent="0.25">
      <c r="A10" s="170" t="s">
        <v>197</v>
      </c>
      <c r="B10" s="176">
        <v>0</v>
      </c>
      <c r="C10" s="166"/>
      <c r="D10" s="166"/>
      <c r="E10" s="166"/>
      <c r="F10" s="166"/>
    </row>
    <row r="11" spans="1:6" x14ac:dyDescent="0.25">
      <c r="A11" s="167" t="s">
        <v>201</v>
      </c>
      <c r="B11" s="168">
        <f>B8+B3</f>
        <v>12</v>
      </c>
      <c r="C11" s="177"/>
      <c r="D11" s="178"/>
      <c r="E11" s="166"/>
      <c r="F11" s="166"/>
    </row>
    <row r="12" spans="1:6" x14ac:dyDescent="0.25">
      <c r="A12" s="173" t="s">
        <v>205</v>
      </c>
      <c r="B12" s="179">
        <f>((B3*15%)+(B8*0%))/B11</f>
        <v>0.15</v>
      </c>
      <c r="C12" s="177"/>
      <c r="D12" s="178"/>
      <c r="E12" s="166"/>
      <c r="F12" s="166"/>
    </row>
    <row r="13" spans="1:6" x14ac:dyDescent="0.25">
      <c r="A13" s="170" t="s">
        <v>200</v>
      </c>
      <c r="B13" s="171">
        <f>B11*(1-B10)</f>
        <v>12</v>
      </c>
      <c r="C13" s="178"/>
      <c r="D13" s="177"/>
      <c r="E13" s="166"/>
      <c r="F13" s="166"/>
    </row>
    <row r="14" spans="1:6" x14ac:dyDescent="0.25">
      <c r="A14" s="173" t="s">
        <v>206</v>
      </c>
      <c r="B14" s="180">
        <f>(B11*B12)</f>
        <v>1.7999999999999998</v>
      </c>
      <c r="C14" s="191"/>
      <c r="D14" s="181"/>
      <c r="E14" s="166"/>
      <c r="F14" s="166"/>
    </row>
    <row r="15" spans="1:6" x14ac:dyDescent="0.25">
      <c r="A15" s="183" t="s">
        <v>207</v>
      </c>
      <c r="B15" s="184">
        <f>B14/B13</f>
        <v>0.15</v>
      </c>
      <c r="C15" s="166"/>
      <c r="D15" s="181"/>
      <c r="E15" s="166"/>
      <c r="F15" s="166"/>
    </row>
    <row r="16" spans="1:6" x14ac:dyDescent="0.25">
      <c r="A16" s="332" t="s">
        <v>421</v>
      </c>
      <c r="B16">
        <f>'Food waste'!T37</f>
        <v>87</v>
      </c>
      <c r="C16" s="166"/>
      <c r="D16" s="181"/>
      <c r="E16" s="166"/>
      <c r="F16" s="166"/>
    </row>
    <row r="17" spans="1:6" x14ac:dyDescent="0.25">
      <c r="A17" s="178"/>
      <c r="B17" s="166"/>
      <c r="C17" s="166"/>
      <c r="D17" s="166"/>
      <c r="E17" s="166"/>
      <c r="F17" s="166"/>
    </row>
    <row r="18" spans="1:6" x14ac:dyDescent="0.25">
      <c r="A18" s="379" t="s">
        <v>423</v>
      </c>
      <c r="B18" s="379"/>
      <c r="C18" s="379"/>
      <c r="D18" s="379"/>
      <c r="E18" s="379"/>
      <c r="F18" s="168"/>
    </row>
    <row r="19" spans="1:6" x14ac:dyDescent="0.25">
      <c r="A19" s="170"/>
      <c r="B19" s="185" t="s">
        <v>144</v>
      </c>
      <c r="C19" s="380" t="s">
        <v>295</v>
      </c>
      <c r="D19" s="380"/>
      <c r="E19" s="380"/>
      <c r="F19" s="168"/>
    </row>
    <row r="20" spans="1:6" x14ac:dyDescent="0.25">
      <c r="A20" s="170"/>
      <c r="B20" s="186"/>
      <c r="C20" s="185" t="s">
        <v>146</v>
      </c>
      <c r="D20" s="185" t="s">
        <v>147</v>
      </c>
      <c r="E20" s="185" t="s">
        <v>148</v>
      </c>
      <c r="F20" s="168"/>
    </row>
    <row r="21" spans="1:6" x14ac:dyDescent="0.25">
      <c r="A21" s="170" t="s">
        <v>303</v>
      </c>
      <c r="B21" s="186">
        <v>0</v>
      </c>
      <c r="C21" s="186">
        <f>B21*0.5</f>
        <v>0</v>
      </c>
      <c r="D21" s="186">
        <f>B21*0.75</f>
        <v>0</v>
      </c>
      <c r="E21" s="186">
        <f>B21*1</f>
        <v>0</v>
      </c>
      <c r="F21" s="187"/>
    </row>
    <row r="22" spans="1:6" x14ac:dyDescent="0.25">
      <c r="A22" s="170" t="s">
        <v>159</v>
      </c>
      <c r="B22" s="186">
        <f>'Food waste'!T37*80</f>
        <v>6960</v>
      </c>
      <c r="C22" s="186">
        <f>0</f>
        <v>0</v>
      </c>
      <c r="D22" s="186">
        <f>0</f>
        <v>0</v>
      </c>
      <c r="E22" s="186">
        <f>0</f>
        <v>0</v>
      </c>
      <c r="F22" s="168" t="s">
        <v>292</v>
      </c>
    </row>
    <row r="23" spans="1:6" x14ac:dyDescent="0.25">
      <c r="A23" s="247" t="s">
        <v>294</v>
      </c>
      <c r="B23" s="248">
        <v>0</v>
      </c>
      <c r="C23" s="248">
        <v>65000</v>
      </c>
      <c r="D23" s="248">
        <v>85000</v>
      </c>
      <c r="E23" s="248">
        <v>110000</v>
      </c>
      <c r="F23" s="168"/>
    </row>
    <row r="24" spans="1:6" x14ac:dyDescent="0.25">
      <c r="A24" s="188" t="s">
        <v>103</v>
      </c>
      <c r="B24" s="186">
        <f>SUM(B21:B22)</f>
        <v>6960</v>
      </c>
      <c r="C24" s="186">
        <f>SUM(C21:C23)</f>
        <v>65000</v>
      </c>
      <c r="D24" s="186">
        <f>SUM(D21:D23)</f>
        <v>85000</v>
      </c>
      <c r="E24" s="186">
        <f>SUM(E21:E23)</f>
        <v>110000</v>
      </c>
      <c r="F24" s="168"/>
    </row>
    <row r="25" spans="1:6" x14ac:dyDescent="0.25">
      <c r="A25" s="170"/>
      <c r="B25" s="186"/>
      <c r="C25" s="189" t="s">
        <v>151</v>
      </c>
      <c r="D25" s="189"/>
      <c r="E25" s="189"/>
      <c r="F25" s="168"/>
    </row>
    <row r="26" spans="1:6" x14ac:dyDescent="0.25">
      <c r="A26" s="190" t="s">
        <v>103</v>
      </c>
      <c r="B26" s="191">
        <f>D26</f>
        <v>91960</v>
      </c>
      <c r="C26" s="186">
        <f>SUM(B24,C24)</f>
        <v>71960</v>
      </c>
      <c r="D26" s="186">
        <f>SUM(B24,D24)</f>
        <v>91960</v>
      </c>
      <c r="E26" s="186">
        <f>SUM(B24,E24)</f>
        <v>116960</v>
      </c>
      <c r="F26" s="168" t="s">
        <v>276</v>
      </c>
    </row>
    <row r="27" spans="1:6" x14ac:dyDescent="0.25">
      <c r="A27" s="170" t="s">
        <v>270</v>
      </c>
      <c r="B27" s="192">
        <v>0.03</v>
      </c>
      <c r="C27" s="193">
        <v>0.03</v>
      </c>
      <c r="D27" s="193">
        <v>0.03</v>
      </c>
      <c r="E27" s="193">
        <v>0.03</v>
      </c>
      <c r="F27" s="168" t="s">
        <v>271</v>
      </c>
    </row>
    <row r="28" spans="1:6" x14ac:dyDescent="0.25">
      <c r="A28" s="170" t="s">
        <v>273</v>
      </c>
      <c r="B28" s="194">
        <v>15</v>
      </c>
      <c r="C28" s="195">
        <v>15</v>
      </c>
      <c r="D28" s="195">
        <v>15</v>
      </c>
      <c r="E28" s="195">
        <v>15</v>
      </c>
      <c r="F28" s="168"/>
    </row>
    <row r="29" spans="1:6" x14ac:dyDescent="0.25">
      <c r="A29" s="170" t="s">
        <v>274</v>
      </c>
      <c r="B29" s="196">
        <f>(((1+B27)^B28)-1)/(B27*(1+B27)^B28)</f>
        <v>11.937935086776077</v>
      </c>
      <c r="C29" s="196">
        <f>(((1+C27)^C28)-1)/(C27*(1+C27)^C28)</f>
        <v>11.937935086776077</v>
      </c>
      <c r="D29" s="196">
        <f>(((1+D27)^D28)-1)/(D27*(1+D27)^D28)</f>
        <v>11.937935086776077</v>
      </c>
      <c r="E29" s="196">
        <f>(((1+E27)^E28)-1)/(E27*(1+E27)^E28)</f>
        <v>11.937935086776077</v>
      </c>
      <c r="F29" s="168"/>
    </row>
    <row r="30" spans="1:6" x14ac:dyDescent="0.25">
      <c r="A30" s="170" t="s">
        <v>269</v>
      </c>
      <c r="B30" s="185">
        <f>B26/B29</f>
        <v>7703.1747393120095</v>
      </c>
      <c r="C30" s="186">
        <f>C26/C29</f>
        <v>6027.8431300662487</v>
      </c>
      <c r="D30" s="186">
        <f>D26/D29</f>
        <v>7703.1747393120095</v>
      </c>
      <c r="E30" s="186">
        <f>E26/E29</f>
        <v>9797.3392508692104</v>
      </c>
      <c r="F30" s="168" t="s">
        <v>275</v>
      </c>
    </row>
    <row r="31" spans="1:6" x14ac:dyDescent="0.25">
      <c r="A31" s="170"/>
      <c r="B31" s="186"/>
      <c r="C31" s="186"/>
      <c r="D31" s="186"/>
      <c r="E31" s="186"/>
      <c r="F31" s="168"/>
    </row>
    <row r="32" spans="1:6" x14ac:dyDescent="0.25">
      <c r="A32" s="170" t="s">
        <v>211</v>
      </c>
      <c r="B32" s="186"/>
      <c r="C32" s="186"/>
      <c r="D32" s="186"/>
      <c r="E32" s="186"/>
      <c r="F32" s="168"/>
    </row>
    <row r="33" spans="1:6" x14ac:dyDescent="0.25">
      <c r="A33" s="183" t="s">
        <v>153</v>
      </c>
      <c r="B33" s="186">
        <v>0</v>
      </c>
      <c r="C33" s="186">
        <v>0</v>
      </c>
      <c r="D33" s="186">
        <v>0</v>
      </c>
      <c r="E33" s="186">
        <v>0</v>
      </c>
      <c r="F33" s="168"/>
    </row>
    <row r="34" spans="1:6" x14ac:dyDescent="0.25">
      <c r="A34" s="183" t="s">
        <v>154</v>
      </c>
      <c r="B34" s="186">
        <v>0</v>
      </c>
      <c r="C34" s="186">
        <v>0</v>
      </c>
      <c r="D34" s="186">
        <v>0</v>
      </c>
      <c r="E34" s="186">
        <v>0</v>
      </c>
      <c r="F34" s="198"/>
    </row>
    <row r="35" spans="1:6" x14ac:dyDescent="0.25">
      <c r="A35" s="183" t="s">
        <v>155</v>
      </c>
      <c r="B35" s="186">
        <v>0</v>
      </c>
      <c r="C35" s="186">
        <v>0</v>
      </c>
      <c r="D35" s="186">
        <v>0</v>
      </c>
      <c r="E35" s="186">
        <v>0</v>
      </c>
      <c r="F35" s="168"/>
    </row>
    <row r="36" spans="1:6" ht="30" x14ac:dyDescent="0.25">
      <c r="A36" s="394" t="s">
        <v>431</v>
      </c>
      <c r="B36" s="8">
        <f>D36</f>
        <v>23520</v>
      </c>
      <c r="C36" s="8">
        <f>(12*7*32*5)+(12*2*7*32)</f>
        <v>18816</v>
      </c>
      <c r="D36" s="8">
        <f>(15*7*32*5)+(15*2*7*32)</f>
        <v>23520</v>
      </c>
      <c r="E36" s="8">
        <f>(20*7*32*5)+(20*2*7*32)</f>
        <v>31360</v>
      </c>
      <c r="F36" s="154" t="s">
        <v>425</v>
      </c>
    </row>
    <row r="37" spans="1:6" ht="30" x14ac:dyDescent="0.25">
      <c r="A37" s="183" t="s">
        <v>161</v>
      </c>
      <c r="B37" s="186">
        <f>D37</f>
        <v>38400</v>
      </c>
      <c r="C37" s="186">
        <f>50*3*32*3*IF(B16&lt;50,1,INT(B16/50)+1)</f>
        <v>28800</v>
      </c>
      <c r="D37" s="186">
        <f>50*4*32*3*IF(B16&lt;50,1,INT(B16/50)+1)</f>
        <v>38400</v>
      </c>
      <c r="E37" s="186">
        <f>50*6*32*3*IF(B16&lt;50,1,INT(B16/50)+1)</f>
        <v>57600</v>
      </c>
      <c r="F37" s="187" t="s">
        <v>426</v>
      </c>
    </row>
    <row r="38" spans="1:6" x14ac:dyDescent="0.25">
      <c r="A38" s="183" t="s">
        <v>162</v>
      </c>
      <c r="B38" s="186">
        <f>21.53*B13*32</f>
        <v>8267.52</v>
      </c>
      <c r="C38" s="186">
        <f>B38*0.9</f>
        <v>7440.7680000000009</v>
      </c>
      <c r="D38" s="186">
        <f>B38*1</f>
        <v>8267.52</v>
      </c>
      <c r="E38" s="186">
        <f>B38*1.1</f>
        <v>9094.2720000000008</v>
      </c>
      <c r="F38" s="168" t="s">
        <v>163</v>
      </c>
    </row>
    <row r="39" spans="1:6" x14ac:dyDescent="0.25">
      <c r="A39" s="183" t="s">
        <v>297</v>
      </c>
      <c r="B39" s="186">
        <f>50*3*32</f>
        <v>4800</v>
      </c>
      <c r="C39" s="186">
        <f>B39*0.9</f>
        <v>4320</v>
      </c>
      <c r="D39" s="186">
        <f>B39</f>
        <v>4800</v>
      </c>
      <c r="E39" s="186">
        <f>B39*1.1</f>
        <v>5280</v>
      </c>
      <c r="F39" s="168" t="s">
        <v>298</v>
      </c>
    </row>
    <row r="40" spans="1:6" x14ac:dyDescent="0.25">
      <c r="A40" s="183" t="s">
        <v>164</v>
      </c>
      <c r="B40" s="199">
        <v>0</v>
      </c>
      <c r="C40" s="186">
        <v>0</v>
      </c>
      <c r="D40" s="186">
        <v>0</v>
      </c>
      <c r="E40" s="186">
        <v>0</v>
      </c>
      <c r="F40" s="168"/>
    </row>
    <row r="41" spans="1:6" x14ac:dyDescent="0.25">
      <c r="A41" s="200" t="s">
        <v>290</v>
      </c>
      <c r="B41" s="201">
        <f>15*B13*32</f>
        <v>5760</v>
      </c>
      <c r="C41" s="201">
        <f>B41*0.9</f>
        <v>5184</v>
      </c>
      <c r="D41" s="201">
        <f>B41*1</f>
        <v>5760</v>
      </c>
      <c r="E41" s="201">
        <f>B41*1.1</f>
        <v>6336.0000000000009</v>
      </c>
      <c r="F41" s="202" t="s">
        <v>291</v>
      </c>
    </row>
    <row r="42" spans="1:6" x14ac:dyDescent="0.25">
      <c r="A42" s="205" t="s">
        <v>214</v>
      </c>
      <c r="B42" s="189">
        <f>SUM(B33:B40)</f>
        <v>74987.520000000004</v>
      </c>
      <c r="C42" s="189">
        <f>SUM(C33:C40)</f>
        <v>59376.768000000004</v>
      </c>
      <c r="D42" s="189">
        <f>SUM(D33:D40)</f>
        <v>74987.520000000004</v>
      </c>
      <c r="E42" s="189">
        <f>SUM(E33:E40)</f>
        <v>103334.272</v>
      </c>
      <c r="F42" s="168"/>
    </row>
    <row r="43" spans="1:6" x14ac:dyDescent="0.25">
      <c r="A43" s="206" t="s">
        <v>212</v>
      </c>
      <c r="B43" s="207">
        <f>B30+B42</f>
        <v>82690.694739312021</v>
      </c>
      <c r="C43" s="207">
        <f>C30+C42</f>
        <v>65404.611130066252</v>
      </c>
      <c r="D43" s="207">
        <f>D30+D42</f>
        <v>82690.694739312021</v>
      </c>
      <c r="E43" s="207">
        <f>E30+E42</f>
        <v>113131.6112508692</v>
      </c>
      <c r="F43" s="208" t="s">
        <v>213</v>
      </c>
    </row>
    <row r="44" spans="1:6" x14ac:dyDescent="0.25">
      <c r="A44" s="209"/>
      <c r="B44" s="210"/>
      <c r="C44" s="210"/>
      <c r="D44" s="210"/>
      <c r="E44" s="210"/>
      <c r="F44" s="211"/>
    </row>
    <row r="45" spans="1:6" x14ac:dyDescent="0.25">
      <c r="A45" s="375" t="s">
        <v>165</v>
      </c>
      <c r="B45" s="376"/>
      <c r="C45" s="376"/>
      <c r="D45" s="376"/>
      <c r="E45" s="377"/>
      <c r="F45" s="214"/>
    </row>
    <row r="46" spans="1:6" x14ac:dyDescent="0.25">
      <c r="A46" s="171" t="s">
        <v>221</v>
      </c>
      <c r="B46" s="168"/>
      <c r="C46" s="216"/>
      <c r="D46" s="216"/>
      <c r="E46" s="216"/>
      <c r="F46" s="168"/>
    </row>
    <row r="47" spans="1:6" x14ac:dyDescent="0.25">
      <c r="A47" s="217" t="s">
        <v>169</v>
      </c>
      <c r="B47" s="186">
        <f>'Biogas to electricity - Input'!$D$35</f>
        <v>4575.170752735834</v>
      </c>
      <c r="C47" s="186">
        <f>B47*0.9</f>
        <v>4117.6536774622509</v>
      </c>
      <c r="D47" s="186">
        <f>B47</f>
        <v>4575.170752735834</v>
      </c>
      <c r="E47" s="186">
        <f>B47*1.1</f>
        <v>5032.6878280094179</v>
      </c>
      <c r="F47" s="168" t="s">
        <v>168</v>
      </c>
    </row>
    <row r="48" spans="1:6" x14ac:dyDescent="0.25">
      <c r="A48" s="218" t="s">
        <v>180</v>
      </c>
      <c r="B48" s="186">
        <f>'Biogas to electricity - Input'!$F$35</f>
        <v>186.37704133314341</v>
      </c>
      <c r="C48" s="186">
        <f>B48*0.9</f>
        <v>167.73933719982907</v>
      </c>
      <c r="D48" s="186">
        <f>B48</f>
        <v>186.37704133314341</v>
      </c>
      <c r="E48" s="186">
        <f>B48*1.1</f>
        <v>205.01474546645775</v>
      </c>
      <c r="F48" s="168" t="s">
        <v>166</v>
      </c>
    </row>
    <row r="49" spans="1:6" x14ac:dyDescent="0.25">
      <c r="A49" s="217" t="s">
        <v>167</v>
      </c>
      <c r="B49" s="186">
        <f>'Biogas to electricity - Input'!$E$35</f>
        <v>869.9879071557848</v>
      </c>
      <c r="C49" s="186">
        <f>B49*0.9</f>
        <v>782.98911644020632</v>
      </c>
      <c r="D49" s="186">
        <f>B49</f>
        <v>869.9879071557848</v>
      </c>
      <c r="E49" s="186">
        <f>B49*1.1</f>
        <v>956.98669787136339</v>
      </c>
      <c r="F49" s="168" t="s">
        <v>168</v>
      </c>
    </row>
    <row r="50" spans="1:6" x14ac:dyDescent="0.25">
      <c r="A50" s="217" t="s">
        <v>170</v>
      </c>
      <c r="B50" s="186">
        <f>'Alton report, Credit Sales'!$D$31</f>
        <v>-2781.1921913367355</v>
      </c>
      <c r="C50" s="186">
        <f>B50*0.9</f>
        <v>-2503.0729722030619</v>
      </c>
      <c r="D50" s="186">
        <f>B50</f>
        <v>-2781.1921913367355</v>
      </c>
      <c r="E50" s="186">
        <f>B50*1.1</f>
        <v>-3059.3114104704091</v>
      </c>
      <c r="F50" s="168"/>
    </row>
    <row r="51" spans="1:6" x14ac:dyDescent="0.25">
      <c r="A51" s="190" t="s">
        <v>217</v>
      </c>
      <c r="B51" s="189">
        <f>SUM(B47:B50)</f>
        <v>2850.3435098880268</v>
      </c>
      <c r="C51" s="189">
        <f>SUM(C47:C50)</f>
        <v>2565.3091588992238</v>
      </c>
      <c r="D51" s="189">
        <f>SUM(D47:D50)</f>
        <v>2850.3435098880268</v>
      </c>
      <c r="E51" s="189">
        <f>SUM(E47:E50)</f>
        <v>3135.3778608768298</v>
      </c>
      <c r="F51" s="168" t="s">
        <v>218</v>
      </c>
    </row>
    <row r="52" spans="1:6" x14ac:dyDescent="0.25">
      <c r="A52" s="167"/>
      <c r="B52" s="168"/>
      <c r="C52" s="168"/>
      <c r="D52" s="168"/>
      <c r="E52" s="168"/>
      <c r="F52" s="168"/>
    </row>
    <row r="53" spans="1:6" x14ac:dyDescent="0.25">
      <c r="A53" s="170" t="s">
        <v>222</v>
      </c>
      <c r="B53" s="168"/>
      <c r="C53" s="168"/>
      <c r="D53" s="168"/>
      <c r="E53" s="168"/>
      <c r="F53" s="168"/>
    </row>
    <row r="54" spans="1:6" x14ac:dyDescent="0.25">
      <c r="A54" s="170" t="s">
        <v>219</v>
      </c>
      <c r="B54" s="168"/>
      <c r="C54" s="168"/>
      <c r="D54" s="168"/>
      <c r="E54" s="168"/>
      <c r="F54" s="168"/>
    </row>
    <row r="55" spans="1:6" x14ac:dyDescent="0.25">
      <c r="A55" s="100" t="s">
        <v>55</v>
      </c>
      <c r="B55" s="92">
        <f>'Alton report, Credit Sales'!$C$28</f>
        <v>9664.2211221503985</v>
      </c>
      <c r="C55" s="92">
        <f>'Alton report, Credit Sales'!$C$27*0.75</f>
        <v>3624.0829208063997</v>
      </c>
      <c r="D55" s="92">
        <f>B55</f>
        <v>9664.2211221503985</v>
      </c>
      <c r="E55" s="92">
        <f>'Alton report, Credit Sales'!$C$27*2.75</f>
        <v>13288.304042956797</v>
      </c>
      <c r="F55" s="79" t="s">
        <v>361</v>
      </c>
    </row>
    <row r="56" spans="1:6" x14ac:dyDescent="0.25">
      <c r="A56" s="221" t="s">
        <v>173</v>
      </c>
      <c r="B56" s="186">
        <f>'Alton report, Credit Sales'!$E$5</f>
        <v>2188.9047840767998</v>
      </c>
      <c r="C56" s="186">
        <f>'Alton report, Credit Sales'!$C$5*50</f>
        <v>1094.4523920383999</v>
      </c>
      <c r="D56" s="186">
        <f>B56</f>
        <v>2188.9047840767998</v>
      </c>
      <c r="E56" s="186">
        <f>'Alton report, Credit Sales'!$C$5*150</f>
        <v>3283.3571761152002</v>
      </c>
      <c r="F56" s="168" t="s">
        <v>174</v>
      </c>
    </row>
    <row r="57" spans="1:6" x14ac:dyDescent="0.25">
      <c r="A57" s="170" t="s">
        <v>223</v>
      </c>
      <c r="B57" s="186">
        <f>SUM(B55:B56)</f>
        <v>11853.125906227198</v>
      </c>
      <c r="C57" s="186">
        <f>SUM(C55:C56)</f>
        <v>4718.5353128447996</v>
      </c>
      <c r="D57" s="186">
        <f>SUM(D55:D56)</f>
        <v>11853.125906227198</v>
      </c>
      <c r="E57" s="186">
        <f>SUM(E55:E56)</f>
        <v>16571.661219071997</v>
      </c>
      <c r="F57" s="168"/>
    </row>
    <row r="58" spans="1:6" x14ac:dyDescent="0.25">
      <c r="A58" s="217" t="s">
        <v>172</v>
      </c>
      <c r="B58" s="186">
        <f>'Alton report, Credit Sales'!$C$39</f>
        <v>1234.2176795098276</v>
      </c>
      <c r="C58" s="186">
        <f>D58*0.9</f>
        <v>1110.7959115588449</v>
      </c>
      <c r="D58" s="186">
        <f>B58</f>
        <v>1234.2176795098276</v>
      </c>
      <c r="E58" s="186">
        <f>B58*1.1</f>
        <v>1357.6394474608105</v>
      </c>
      <c r="F58" s="79" t="s">
        <v>343</v>
      </c>
    </row>
    <row r="59" spans="1:6" x14ac:dyDescent="0.25">
      <c r="A59" s="221" t="s">
        <v>175</v>
      </c>
      <c r="B59" s="186">
        <f>'Alton report, Credit Sales'!C42</f>
        <v>-182.21543249716603</v>
      </c>
      <c r="C59" s="186">
        <f>B59*0.9</f>
        <v>-163.99388924744943</v>
      </c>
      <c r="D59" s="186">
        <f>B59</f>
        <v>-182.21543249716603</v>
      </c>
      <c r="E59" s="186">
        <f>B59*1.1</f>
        <v>-200.43697574688267</v>
      </c>
      <c r="F59" s="168" t="s">
        <v>227</v>
      </c>
    </row>
    <row r="60" spans="1:6" x14ac:dyDescent="0.25">
      <c r="A60" s="109" t="s">
        <v>324</v>
      </c>
      <c r="B60" s="92">
        <f>'Alton report, Credit Sales'!$K$28</f>
        <v>-4142.6253555041485</v>
      </c>
      <c r="C60" s="92">
        <f>B60*0.9</f>
        <v>-3728.3628199537338</v>
      </c>
      <c r="D60" s="92">
        <f>B60</f>
        <v>-4142.6253555041485</v>
      </c>
      <c r="E60" s="92">
        <f>B60*1.1</f>
        <v>-4556.8878910545636</v>
      </c>
      <c r="F60" s="79" t="s">
        <v>332</v>
      </c>
    </row>
    <row r="61" spans="1:6" x14ac:dyDescent="0.25">
      <c r="A61" s="109" t="s">
        <v>331</v>
      </c>
      <c r="B61" s="92">
        <f>B57*20%*(-1)</f>
        <v>-2370.6251812454398</v>
      </c>
      <c r="C61" s="92">
        <f>C57*20%*(-1)</f>
        <v>-943.70706256895994</v>
      </c>
      <c r="D61" s="92">
        <f>D57*20%*(-1)</f>
        <v>-2370.6251812454398</v>
      </c>
      <c r="E61" s="92">
        <f>E57*20%*(-1)</f>
        <v>-3314.3322438143996</v>
      </c>
      <c r="F61" s="79" t="s">
        <v>252</v>
      </c>
    </row>
    <row r="62" spans="1:6" x14ac:dyDescent="0.25">
      <c r="A62" s="206" t="s">
        <v>226</v>
      </c>
      <c r="B62" s="207">
        <f>SUM(B57:B61)</f>
        <v>6391.8776164902738</v>
      </c>
      <c r="C62" s="189">
        <f>SUM(C57:C61)</f>
        <v>993.26745263350119</v>
      </c>
      <c r="D62" s="189">
        <f>SUM(D57:D61)</f>
        <v>6391.8776164902738</v>
      </c>
      <c r="E62" s="189">
        <f>SUM(E57:E61)</f>
        <v>9857.6435559169622</v>
      </c>
      <c r="F62" s="220" t="s">
        <v>225</v>
      </c>
    </row>
    <row r="63" spans="1:6" x14ac:dyDescent="0.25">
      <c r="A63" s="223"/>
      <c r="B63" s="224"/>
      <c r="C63" s="225"/>
      <c r="D63" s="225"/>
      <c r="E63" s="225"/>
      <c r="F63" s="226"/>
    </row>
    <row r="64" spans="1:6" x14ac:dyDescent="0.25">
      <c r="A64" s="227"/>
      <c r="B64" s="228"/>
      <c r="C64" s="225"/>
      <c r="D64" s="225"/>
      <c r="E64" s="225"/>
      <c r="F64" s="226"/>
    </row>
    <row r="65" spans="1:6" x14ac:dyDescent="0.25">
      <c r="A65" s="374" t="s">
        <v>209</v>
      </c>
      <c r="B65" s="374"/>
      <c r="C65" s="166"/>
    </row>
    <row r="66" spans="1:6" x14ac:dyDescent="0.25">
      <c r="A66" s="167" t="s">
        <v>193</v>
      </c>
      <c r="B66" s="169">
        <f>'Food waste'!B25</f>
        <v>3190.4061545423688</v>
      </c>
      <c r="C66" s="166"/>
    </row>
    <row r="67" spans="1:6" x14ac:dyDescent="0.25">
      <c r="A67" s="170" t="s">
        <v>194</v>
      </c>
      <c r="B67" s="172">
        <f>B66/2000</f>
        <v>1.5952030772711845</v>
      </c>
      <c r="C67" s="166"/>
    </row>
    <row r="68" spans="1:6" x14ac:dyDescent="0.25">
      <c r="A68" s="173" t="s">
        <v>202</v>
      </c>
      <c r="B68" s="174">
        <v>0.15</v>
      </c>
      <c r="C68" s="166"/>
    </row>
    <row r="69" spans="1:6" x14ac:dyDescent="0.25">
      <c r="A69" s="173" t="s">
        <v>203</v>
      </c>
      <c r="B69" s="174">
        <v>0.85</v>
      </c>
      <c r="C69" s="166"/>
    </row>
    <row r="70" spans="1:6" x14ac:dyDescent="0.25">
      <c r="A70" s="167" t="s">
        <v>204</v>
      </c>
      <c r="B70" s="169">
        <f>B67*B68</f>
        <v>0.23928046159067767</v>
      </c>
      <c r="C70" s="166"/>
    </row>
    <row r="71" spans="1:6" x14ac:dyDescent="0.25">
      <c r="A71" s="167" t="s">
        <v>280</v>
      </c>
      <c r="B71" s="175">
        <v>0</v>
      </c>
      <c r="C71" s="166"/>
    </row>
    <row r="72" spans="1:6" x14ac:dyDescent="0.25">
      <c r="A72" s="167" t="s">
        <v>281</v>
      </c>
      <c r="B72" s="169">
        <v>0</v>
      </c>
      <c r="C72" s="166"/>
    </row>
    <row r="73" spans="1:6" x14ac:dyDescent="0.25">
      <c r="A73" s="167"/>
      <c r="B73" s="168"/>
      <c r="C73" s="166"/>
    </row>
    <row r="74" spans="1:6" x14ac:dyDescent="0.25">
      <c r="A74" s="170" t="s">
        <v>197</v>
      </c>
      <c r="B74" s="176">
        <v>0</v>
      </c>
      <c r="C74" s="166"/>
    </row>
    <row r="75" spans="1:6" x14ac:dyDescent="0.25">
      <c r="A75" s="167" t="s">
        <v>201</v>
      </c>
      <c r="B75" s="169">
        <f>B72+B67</f>
        <v>1.5952030772711845</v>
      </c>
      <c r="C75" s="166"/>
    </row>
    <row r="76" spans="1:6" x14ac:dyDescent="0.25">
      <c r="A76" s="173" t="s">
        <v>205</v>
      </c>
      <c r="B76" s="179">
        <f>((B67*15%)+(B72*0%))/B75</f>
        <v>0.15</v>
      </c>
      <c r="C76" s="166"/>
    </row>
    <row r="77" spans="1:6" x14ac:dyDescent="0.25">
      <c r="A77" s="170" t="s">
        <v>200</v>
      </c>
      <c r="B77" s="172">
        <f>B75*(1-B74)</f>
        <v>1.5952030772711845</v>
      </c>
      <c r="C77" s="166"/>
    </row>
    <row r="78" spans="1:6" x14ac:dyDescent="0.25">
      <c r="A78" s="173" t="s">
        <v>206</v>
      </c>
      <c r="B78" s="182">
        <f>(B75*B76)</f>
        <v>0.23928046159067767</v>
      </c>
      <c r="C78" s="166"/>
      <c r="D78" s="166"/>
      <c r="E78" s="166"/>
      <c r="F78" s="166"/>
    </row>
    <row r="79" spans="1:6" x14ac:dyDescent="0.25">
      <c r="A79" s="183" t="s">
        <v>207</v>
      </c>
      <c r="B79" s="184">
        <f>B78/B77</f>
        <v>0.15</v>
      </c>
      <c r="C79" s="166"/>
      <c r="D79" s="166"/>
      <c r="E79" s="166"/>
      <c r="F79" s="166"/>
    </row>
    <row r="80" spans="1:6" x14ac:dyDescent="0.25">
      <c r="A80" s="332" t="s">
        <v>421</v>
      </c>
      <c r="B80">
        <f>INT('Food waste'!T34*7/3)+1</f>
        <v>12</v>
      </c>
      <c r="C80" s="166"/>
      <c r="D80" s="166"/>
      <c r="E80" s="166"/>
      <c r="F80" s="166"/>
    </row>
    <row r="81" spans="1:6" x14ac:dyDescent="0.25">
      <c r="A81" s="178"/>
      <c r="B81" s="166"/>
      <c r="C81" s="166"/>
      <c r="D81" s="166"/>
      <c r="E81" s="166"/>
      <c r="F81" s="166"/>
    </row>
    <row r="82" spans="1:6" x14ac:dyDescent="0.25">
      <c r="A82" s="379" t="s">
        <v>424</v>
      </c>
      <c r="B82" s="379"/>
      <c r="C82" s="379"/>
      <c r="D82" s="379"/>
      <c r="E82" s="379"/>
      <c r="F82" s="168"/>
    </row>
    <row r="83" spans="1:6" x14ac:dyDescent="0.25">
      <c r="A83" s="170"/>
      <c r="B83" s="185" t="s">
        <v>144</v>
      </c>
      <c r="C83" s="380" t="s">
        <v>145</v>
      </c>
      <c r="D83" s="380"/>
      <c r="E83" s="380"/>
      <c r="F83" s="168"/>
    </row>
    <row r="84" spans="1:6" x14ac:dyDescent="0.25">
      <c r="A84" s="170"/>
      <c r="B84" s="186"/>
      <c r="C84" s="185" t="s">
        <v>146</v>
      </c>
      <c r="D84" s="185" t="s">
        <v>147</v>
      </c>
      <c r="E84" s="185" t="s">
        <v>148</v>
      </c>
      <c r="F84" s="168"/>
    </row>
    <row r="85" spans="1:6" x14ac:dyDescent="0.25">
      <c r="A85" s="170" t="s">
        <v>87</v>
      </c>
      <c r="B85" s="186">
        <v>0</v>
      </c>
      <c r="C85" s="186">
        <v>0</v>
      </c>
      <c r="D85" s="186">
        <v>0</v>
      </c>
      <c r="E85" s="186">
        <v>0</v>
      </c>
      <c r="F85" s="168"/>
    </row>
    <row r="86" spans="1:6" x14ac:dyDescent="0.25">
      <c r="A86" s="170" t="s">
        <v>177</v>
      </c>
      <c r="B86" s="186">
        <f>B80*80</f>
        <v>960</v>
      </c>
      <c r="C86" s="186">
        <v>0</v>
      </c>
      <c r="D86" s="186">
        <v>0</v>
      </c>
      <c r="E86" s="186">
        <v>0</v>
      </c>
      <c r="F86" s="168" t="s">
        <v>292</v>
      </c>
    </row>
    <row r="87" spans="1:6" x14ac:dyDescent="0.25">
      <c r="A87" s="247" t="s">
        <v>294</v>
      </c>
      <c r="B87" s="248">
        <v>0</v>
      </c>
      <c r="C87" s="248">
        <f>C23*($B$67/$B$3)</f>
        <v>8640.6833352189151</v>
      </c>
      <c r="D87" s="248">
        <f>D23*($B$67/$B$3)</f>
        <v>11299.355130670889</v>
      </c>
      <c r="E87" s="248">
        <f>E23*($B$67/$B$3)</f>
        <v>14622.694874985857</v>
      </c>
      <c r="F87" s="168"/>
    </row>
    <row r="88" spans="1:6" x14ac:dyDescent="0.25">
      <c r="A88" s="188" t="s">
        <v>103</v>
      </c>
      <c r="B88" s="186">
        <f>SUM(B85:B86)</f>
        <v>960</v>
      </c>
      <c r="C88" s="186">
        <f>SUM(C85:C87)</f>
        <v>8640.6833352189151</v>
      </c>
      <c r="D88" s="186">
        <f>SUM(D85:D87)</f>
        <v>11299.355130670889</v>
      </c>
      <c r="E88" s="186">
        <f>SUM(E85:E87)</f>
        <v>14622.694874985857</v>
      </c>
      <c r="F88" s="168"/>
    </row>
    <row r="89" spans="1:6" x14ac:dyDescent="0.25">
      <c r="A89" s="170"/>
      <c r="B89" s="186"/>
      <c r="C89" s="189" t="s">
        <v>151</v>
      </c>
      <c r="D89" s="189"/>
      <c r="E89" s="189"/>
      <c r="F89" s="168"/>
    </row>
    <row r="90" spans="1:6" x14ac:dyDescent="0.25">
      <c r="A90" s="190" t="s">
        <v>103</v>
      </c>
      <c r="B90" s="191">
        <f>D90</f>
        <v>12259.355130670889</v>
      </c>
      <c r="C90" s="186">
        <f>SUM(B88,C88)</f>
        <v>9600.6833352189151</v>
      </c>
      <c r="D90" s="186">
        <f>SUM(B88,D88)</f>
        <v>12259.355130670889</v>
      </c>
      <c r="E90" s="186">
        <f>SUM(B88,E88)</f>
        <v>15582.694874985857</v>
      </c>
      <c r="F90" s="168" t="s">
        <v>276</v>
      </c>
    </row>
    <row r="91" spans="1:6" x14ac:dyDescent="0.25">
      <c r="A91" s="170" t="s">
        <v>270</v>
      </c>
      <c r="B91" s="192">
        <v>0.03</v>
      </c>
      <c r="C91" s="193">
        <v>0.03</v>
      </c>
      <c r="D91" s="193">
        <v>0.03</v>
      </c>
      <c r="E91" s="193">
        <v>0.03</v>
      </c>
      <c r="F91" s="168" t="s">
        <v>271</v>
      </c>
    </row>
    <row r="92" spans="1:6" x14ac:dyDescent="0.25">
      <c r="A92" s="170" t="s">
        <v>273</v>
      </c>
      <c r="B92" s="194">
        <v>15</v>
      </c>
      <c r="C92" s="195">
        <v>15</v>
      </c>
      <c r="D92" s="195">
        <v>15</v>
      </c>
      <c r="E92" s="195">
        <v>15</v>
      </c>
      <c r="F92" s="168" t="s">
        <v>272</v>
      </c>
    </row>
    <row r="93" spans="1:6" x14ac:dyDescent="0.25">
      <c r="A93" s="170" t="s">
        <v>274</v>
      </c>
      <c r="B93" s="196">
        <f>(((1+B91)^B92)-1)/(B91*(1+B91)^B92)</f>
        <v>11.937935086776077</v>
      </c>
      <c r="C93" s="196">
        <f>(((1+C91)^C92)-1)/(C91*(1+C91)^C92)</f>
        <v>11.937935086776077</v>
      </c>
      <c r="D93" s="196">
        <f>(((1+D91)^D92)-1)/(D91*(1+D91)^D92)</f>
        <v>11.937935086776077</v>
      </c>
      <c r="E93" s="196">
        <f>(((1+E91)^E92)-1)/(E91*(1+E91)^E92)</f>
        <v>11.937935086776077</v>
      </c>
      <c r="F93" s="168"/>
    </row>
    <row r="94" spans="1:6" x14ac:dyDescent="0.25">
      <c r="A94" s="170" t="s">
        <v>269</v>
      </c>
      <c r="B94" s="185">
        <f>B90/B93</f>
        <v>1026.924257969107</v>
      </c>
      <c r="C94" s="186">
        <f>C90/C93</f>
        <v>804.21641309256324</v>
      </c>
      <c r="D94" s="186">
        <f>D90/D93</f>
        <v>1026.924257969107</v>
      </c>
      <c r="E94" s="186">
        <f>E90/E93</f>
        <v>1305.3090640647865</v>
      </c>
      <c r="F94" s="168" t="s">
        <v>275</v>
      </c>
    </row>
    <row r="95" spans="1:6" x14ac:dyDescent="0.25">
      <c r="A95" s="190"/>
      <c r="B95" s="186"/>
      <c r="C95" s="186"/>
      <c r="D95" s="186"/>
      <c r="E95" s="186"/>
      <c r="F95" s="168"/>
    </row>
    <row r="96" spans="1:6" x14ac:dyDescent="0.25">
      <c r="A96" s="170" t="s">
        <v>211</v>
      </c>
      <c r="B96" s="186"/>
      <c r="C96" s="186"/>
      <c r="D96" s="186"/>
      <c r="E96" s="186"/>
      <c r="F96" s="168"/>
    </row>
    <row r="97" spans="1:6" x14ac:dyDescent="0.25">
      <c r="A97" s="183" t="s">
        <v>153</v>
      </c>
      <c r="B97" s="186">
        <v>0</v>
      </c>
      <c r="C97" s="186">
        <v>0</v>
      </c>
      <c r="D97" s="186">
        <v>0</v>
      </c>
      <c r="E97" s="186">
        <v>0</v>
      </c>
      <c r="F97" s="168"/>
    </row>
    <row r="98" spans="1:6" x14ac:dyDescent="0.25">
      <c r="A98" s="183" t="s">
        <v>154</v>
      </c>
      <c r="B98" s="186">
        <v>0</v>
      </c>
      <c r="C98" s="186">
        <v>0</v>
      </c>
      <c r="D98" s="186">
        <v>0</v>
      </c>
      <c r="E98" s="186">
        <v>0</v>
      </c>
      <c r="F98" s="198"/>
    </row>
    <row r="99" spans="1:6" x14ac:dyDescent="0.25">
      <c r="A99" s="183" t="s">
        <v>155</v>
      </c>
      <c r="B99" s="186">
        <v>0</v>
      </c>
      <c r="C99" s="186">
        <v>0</v>
      </c>
      <c r="D99" s="186">
        <v>0</v>
      </c>
      <c r="E99" s="186">
        <v>0</v>
      </c>
      <c r="F99" s="168"/>
    </row>
    <row r="100" spans="1:6" ht="30" x14ac:dyDescent="0.25">
      <c r="A100" s="394" t="s">
        <v>431</v>
      </c>
      <c r="B100" s="8">
        <f>D100</f>
        <v>3360</v>
      </c>
      <c r="C100" s="8">
        <f>12*7*32</f>
        <v>2688</v>
      </c>
      <c r="D100" s="8">
        <f>15*7*32</f>
        <v>3360</v>
      </c>
      <c r="E100" s="8">
        <f>20*7*32</f>
        <v>4480</v>
      </c>
      <c r="F100" s="79" t="s">
        <v>306</v>
      </c>
    </row>
    <row r="101" spans="1:6" x14ac:dyDescent="0.25">
      <c r="A101" s="183" t="s">
        <v>161</v>
      </c>
      <c r="B101" s="186">
        <f>D101</f>
        <v>2560</v>
      </c>
      <c r="C101" s="186">
        <f>50*3*32*(1.6/12)*3</f>
        <v>1920</v>
      </c>
      <c r="D101" s="186">
        <f>50*4*32*(1.6/12)*3</f>
        <v>2560</v>
      </c>
      <c r="E101" s="186">
        <f>50*6*32*(1.6/12)*3</f>
        <v>3840</v>
      </c>
      <c r="F101" s="168" t="s">
        <v>293</v>
      </c>
    </row>
    <row r="102" spans="1:6" x14ac:dyDescent="0.25">
      <c r="A102" s="183" t="s">
        <v>162</v>
      </c>
      <c r="B102" s="186">
        <f>B38*(B67/B3)</f>
        <v>1099.0311121167551</v>
      </c>
      <c r="C102" s="186">
        <f>B102*0.9</f>
        <v>989.1280009050796</v>
      </c>
      <c r="D102" s="186">
        <f>B102*1</f>
        <v>1099.0311121167551</v>
      </c>
      <c r="E102" s="186">
        <f>B102*1.1</f>
        <v>1208.9342233284308</v>
      </c>
      <c r="F102" s="168" t="s">
        <v>163</v>
      </c>
    </row>
    <row r="103" spans="1:6" x14ac:dyDescent="0.25">
      <c r="A103" s="183" t="s">
        <v>186</v>
      </c>
      <c r="B103" s="186">
        <f>50*3*32*($B$67/$B$3)</f>
        <v>638.0812309084738</v>
      </c>
      <c r="C103" s="186">
        <f>B103*0.9</f>
        <v>574.2731078176264</v>
      </c>
      <c r="D103" s="186">
        <f>B103</f>
        <v>638.0812309084738</v>
      </c>
      <c r="E103" s="186">
        <f>B103*1.1</f>
        <v>701.8893539993212</v>
      </c>
      <c r="F103" s="168" t="s">
        <v>296</v>
      </c>
    </row>
    <row r="104" spans="1:6" x14ac:dyDescent="0.25">
      <c r="A104" s="183" t="s">
        <v>7</v>
      </c>
      <c r="B104" s="186">
        <v>0</v>
      </c>
      <c r="C104" s="186">
        <v>0</v>
      </c>
      <c r="D104" s="186">
        <v>0</v>
      </c>
      <c r="E104" s="186">
        <v>0</v>
      </c>
      <c r="F104" s="168"/>
    </row>
    <row r="105" spans="1:6" x14ac:dyDescent="0.25">
      <c r="A105" s="200" t="s">
        <v>290</v>
      </c>
      <c r="B105" s="201">
        <f>15*B77*32</f>
        <v>765.6974770901686</v>
      </c>
      <c r="C105" s="201">
        <f>B105*0.9</f>
        <v>689.12772938115177</v>
      </c>
      <c r="D105" s="201">
        <f>B105*1</f>
        <v>765.6974770901686</v>
      </c>
      <c r="E105" s="201">
        <f>B105*1.1</f>
        <v>842.26722479918556</v>
      </c>
      <c r="F105" s="202" t="s">
        <v>291</v>
      </c>
    </row>
    <row r="106" spans="1:6" x14ac:dyDescent="0.25">
      <c r="A106" s="205" t="s">
        <v>214</v>
      </c>
      <c r="B106" s="189">
        <f>SUM(B97:B104)</f>
        <v>7657.1123430252292</v>
      </c>
      <c r="C106" s="189">
        <f>SUM(C97:C104)</f>
        <v>6171.4011087227063</v>
      </c>
      <c r="D106" s="189">
        <f>SUM(D97:D104)</f>
        <v>7657.1123430252292</v>
      </c>
      <c r="E106" s="189">
        <f>SUM(E97:E104)</f>
        <v>10230.823577327752</v>
      </c>
      <c r="F106" s="168"/>
    </row>
    <row r="107" spans="1:6" x14ac:dyDescent="0.25">
      <c r="A107" s="206" t="s">
        <v>212</v>
      </c>
      <c r="B107" s="207">
        <f>B94+B106</f>
        <v>8684.0366009943355</v>
      </c>
      <c r="C107" s="207">
        <f>C94+C106</f>
        <v>6975.6175218152694</v>
      </c>
      <c r="D107" s="207">
        <f>D94+D106</f>
        <v>8684.0366009943355</v>
      </c>
      <c r="E107" s="207">
        <f>E94+E106</f>
        <v>11536.132641392538</v>
      </c>
      <c r="F107" s="208" t="s">
        <v>213</v>
      </c>
    </row>
    <row r="108" spans="1:6" x14ac:dyDescent="0.25">
      <c r="A108" s="209"/>
      <c r="B108" s="212"/>
      <c r="C108" s="212"/>
      <c r="D108" s="212"/>
      <c r="E108" s="212"/>
      <c r="F108" s="213"/>
    </row>
    <row r="109" spans="1:6" x14ac:dyDescent="0.25">
      <c r="A109" s="378" t="s">
        <v>165</v>
      </c>
      <c r="B109" s="378"/>
      <c r="C109" s="378"/>
      <c r="D109" s="378"/>
      <c r="E109" s="378"/>
      <c r="F109" s="215"/>
    </row>
    <row r="110" spans="1:6" x14ac:dyDescent="0.25">
      <c r="A110" s="190" t="s">
        <v>221</v>
      </c>
      <c r="B110" s="186"/>
      <c r="C110" s="186"/>
      <c r="D110" s="186"/>
      <c r="E110" s="186"/>
      <c r="F110" s="168"/>
    </row>
    <row r="111" spans="1:6" x14ac:dyDescent="0.25">
      <c r="A111" s="217" t="s">
        <v>169</v>
      </c>
      <c r="B111" s="186">
        <f>'Biogas to electricity - Input'!$D$35*(B67/B3)</f>
        <v>608.19387198377694</v>
      </c>
      <c r="C111" s="186">
        <f>B111*0.9</f>
        <v>547.37448478539932</v>
      </c>
      <c r="D111" s="186">
        <f>B111</f>
        <v>608.19387198377694</v>
      </c>
      <c r="E111" s="186">
        <f>B111*1.1</f>
        <v>669.01325918215468</v>
      </c>
      <c r="F111" s="168" t="s">
        <v>168</v>
      </c>
    </row>
    <row r="112" spans="1:6" x14ac:dyDescent="0.25">
      <c r="A112" s="218" t="s">
        <v>180</v>
      </c>
      <c r="B112" s="186">
        <f>'Biogas to electricity - Input'!$F$35*(B67/B3)</f>
        <v>24.775769155610757</v>
      </c>
      <c r="C112" s="186">
        <f>B112*0.9</f>
        <v>22.29819224004968</v>
      </c>
      <c r="D112" s="186">
        <f>B112</f>
        <v>24.775769155610757</v>
      </c>
      <c r="E112" s="186">
        <f>B112*1.1</f>
        <v>27.253346071171833</v>
      </c>
      <c r="F112" s="168" t="s">
        <v>166</v>
      </c>
    </row>
    <row r="113" spans="1:6" x14ac:dyDescent="0.25">
      <c r="A113" s="217" t="s">
        <v>167</v>
      </c>
      <c r="B113" s="186">
        <f>'Biogas to electricity - Input'!$E$35*(B67/B3)</f>
        <v>115.65061555696877</v>
      </c>
      <c r="C113" s="186">
        <f>B113*0.9</f>
        <v>104.0855540012719</v>
      </c>
      <c r="D113" s="186">
        <f>B113</f>
        <v>115.65061555696877</v>
      </c>
      <c r="E113" s="186">
        <f>B113*1.1</f>
        <v>127.21567711266566</v>
      </c>
      <c r="F113" s="168" t="s">
        <v>168</v>
      </c>
    </row>
    <row r="114" spans="1:6" x14ac:dyDescent="0.25">
      <c r="A114" s="217" t="s">
        <v>170</v>
      </c>
      <c r="B114" s="186">
        <f>'Alton report, Credit Sales'!$D$31*(B67/B3)</f>
        <v>-369.71386184191243</v>
      </c>
      <c r="C114" s="186">
        <f>B114*0.9</f>
        <v>-332.74247565772117</v>
      </c>
      <c r="D114" s="186">
        <f>B114</f>
        <v>-369.71386184191243</v>
      </c>
      <c r="E114" s="186">
        <f>B114*1.1</f>
        <v>-406.68524802610369</v>
      </c>
      <c r="F114" s="168"/>
    </row>
    <row r="115" spans="1:6" x14ac:dyDescent="0.25">
      <c r="A115" s="219" t="s">
        <v>217</v>
      </c>
      <c r="B115" s="189">
        <f>SUM(B111:B114)</f>
        <v>378.90639485444404</v>
      </c>
      <c r="C115" s="189">
        <f>SUM(C111:C114)</f>
        <v>341.01575536899981</v>
      </c>
      <c r="D115" s="189">
        <f>SUM(D111:D114)</f>
        <v>378.90639485444404</v>
      </c>
      <c r="E115" s="189">
        <f>SUM(E111:E114)</f>
        <v>416.7970343398884</v>
      </c>
      <c r="F115" s="220" t="s">
        <v>218</v>
      </c>
    </row>
    <row r="116" spans="1:6" x14ac:dyDescent="0.25">
      <c r="A116" s="167"/>
      <c r="B116" s="168"/>
      <c r="C116" s="168"/>
      <c r="D116" s="168"/>
      <c r="E116" s="168"/>
      <c r="F116" s="168"/>
    </row>
    <row r="117" spans="1:6" x14ac:dyDescent="0.25">
      <c r="A117" s="170" t="s">
        <v>222</v>
      </c>
      <c r="B117" s="168"/>
      <c r="C117" s="168"/>
      <c r="D117" s="168"/>
      <c r="E117" s="168"/>
      <c r="F117" s="168"/>
    </row>
    <row r="118" spans="1:6" x14ac:dyDescent="0.25">
      <c r="A118" s="170" t="s">
        <v>219</v>
      </c>
      <c r="B118" s="168"/>
      <c r="C118" s="168"/>
      <c r="D118" s="168"/>
      <c r="E118" s="168"/>
      <c r="F118" s="168"/>
    </row>
    <row r="119" spans="1:6" x14ac:dyDescent="0.25">
      <c r="A119" s="100" t="s">
        <v>55</v>
      </c>
      <c r="B119" s="92">
        <f>'Alton report, Credit Sales'!$C$28*(1.6/12)</f>
        <v>1288.5628162867197</v>
      </c>
      <c r="C119" s="92">
        <f>'Alton report, Credit Sales'!$C$27*0.75*(1.6/12)</f>
        <v>483.21105610751994</v>
      </c>
      <c r="D119" s="92">
        <f>B119</f>
        <v>1288.5628162867197</v>
      </c>
      <c r="E119" s="92">
        <f>'Alton report, Credit Sales'!$C$27*2.75*(1.6/12)</f>
        <v>1771.7738723942396</v>
      </c>
      <c r="F119" s="79" t="s">
        <v>361</v>
      </c>
    </row>
    <row r="120" spans="1:6" x14ac:dyDescent="0.25">
      <c r="A120" s="222" t="s">
        <v>173</v>
      </c>
      <c r="B120" s="186">
        <f>'Alton report, Credit Sales'!$E$5*(1.6/12)</f>
        <v>291.85397121023999</v>
      </c>
      <c r="C120" s="186">
        <f>'Alton report, Credit Sales'!$C$5*50*(1.6/12)</f>
        <v>145.92698560512</v>
      </c>
      <c r="D120" s="186">
        <f>B120</f>
        <v>291.85397121023999</v>
      </c>
      <c r="E120" s="186">
        <f>'Alton report, Credit Sales'!$C$5*150*(1.6/12)</f>
        <v>437.78095681536001</v>
      </c>
      <c r="F120" s="168" t="s">
        <v>174</v>
      </c>
    </row>
    <row r="121" spans="1:6" x14ac:dyDescent="0.25">
      <c r="A121" s="170" t="s">
        <v>220</v>
      </c>
      <c r="B121" s="186">
        <f>SUM(B119:B120)</f>
        <v>1580.4167874969596</v>
      </c>
      <c r="C121" s="186">
        <f>SUM(C119:C120)</f>
        <v>629.13804171263996</v>
      </c>
      <c r="D121" s="186">
        <f>SUM(D119:D120)</f>
        <v>1580.4167874969596</v>
      </c>
      <c r="E121" s="186">
        <f>SUM(E119:E120)</f>
        <v>2209.5548292095996</v>
      </c>
      <c r="F121" s="168"/>
    </row>
    <row r="122" spans="1:6" x14ac:dyDescent="0.25">
      <c r="A122" s="217" t="s">
        <v>172</v>
      </c>
      <c r="B122" s="186">
        <f>'Alton report, Credit Sales'!$C$39*(1.6/12)</f>
        <v>164.56235726797701</v>
      </c>
      <c r="C122" s="186">
        <f>D122*0.9</f>
        <v>148.10612154117931</v>
      </c>
      <c r="D122" s="186">
        <f>B122</f>
        <v>164.56235726797701</v>
      </c>
      <c r="E122" s="186">
        <f>B122*1.1</f>
        <v>181.01859299477474</v>
      </c>
      <c r="F122" s="79" t="s">
        <v>343</v>
      </c>
    </row>
    <row r="123" spans="1:6" x14ac:dyDescent="0.25">
      <c r="A123" s="221" t="s">
        <v>175</v>
      </c>
      <c r="B123" s="186">
        <f>B59*(1.6/12)</f>
        <v>-24.295390999622139</v>
      </c>
      <c r="C123" s="186">
        <f>B123*0.9</f>
        <v>-21.865851899659926</v>
      </c>
      <c r="D123" s="186">
        <f>B123</f>
        <v>-24.295390999622139</v>
      </c>
      <c r="E123" s="186">
        <f>B123*1.1</f>
        <v>-26.724930099584356</v>
      </c>
      <c r="F123" s="168" t="s">
        <v>227</v>
      </c>
    </row>
    <row r="124" spans="1:6" x14ac:dyDescent="0.25">
      <c r="A124" s="109" t="s">
        <v>324</v>
      </c>
      <c r="B124" s="92">
        <f>B61*B68/B4</f>
        <v>-2370.6251812454398</v>
      </c>
      <c r="C124" s="92">
        <f>B124*0.9</f>
        <v>-2133.5626631208956</v>
      </c>
      <c r="D124" s="92">
        <f>B124</f>
        <v>-2370.6251812454398</v>
      </c>
      <c r="E124" s="92">
        <f>B124*1.1</f>
        <v>-2607.6876993699839</v>
      </c>
      <c r="F124" s="79" t="s">
        <v>332</v>
      </c>
    </row>
    <row r="125" spans="1:6" x14ac:dyDescent="0.25">
      <c r="A125" s="109" t="s">
        <v>331</v>
      </c>
      <c r="B125" s="92">
        <f>(B119+B120)*20%*(-1)</f>
        <v>-316.08335749939192</v>
      </c>
      <c r="C125" s="92">
        <f>(C119+C120)*20%*(-1)</f>
        <v>-125.82760834252799</v>
      </c>
      <c r="D125" s="92">
        <f>(D119+D120)*20%*(-1)</f>
        <v>-316.08335749939192</v>
      </c>
      <c r="E125" s="92">
        <f>(E119+E120)*20%*(-1)</f>
        <v>-441.91096584191996</v>
      </c>
      <c r="F125" s="154" t="s">
        <v>252</v>
      </c>
    </row>
    <row r="126" spans="1:6" x14ac:dyDescent="0.25">
      <c r="A126" s="188" t="s">
        <v>226</v>
      </c>
      <c r="B126" s="189">
        <f>SUM(B121:B125)</f>
        <v>-966.02478497951734</v>
      </c>
      <c r="C126" s="189">
        <f>SUM(C121:C125)</f>
        <v>-1504.0119601092642</v>
      </c>
      <c r="D126" s="189">
        <f>SUM(D121:D125)</f>
        <v>-966.02478497951734</v>
      </c>
      <c r="E126" s="189">
        <f>SUM(E121:E125)</f>
        <v>-685.75017310711405</v>
      </c>
      <c r="F126" s="220" t="s">
        <v>225</v>
      </c>
    </row>
    <row r="127" spans="1:6" x14ac:dyDescent="0.25">
      <c r="A127" s="170"/>
      <c r="B127" s="186"/>
      <c r="C127" s="186"/>
      <c r="D127" s="186"/>
      <c r="E127" s="186"/>
      <c r="F127" s="168"/>
    </row>
    <row r="128" spans="1:6" x14ac:dyDescent="0.25">
      <c r="A128" s="170" t="s">
        <v>179</v>
      </c>
      <c r="B128" s="186">
        <v>0</v>
      </c>
      <c r="C128" s="186">
        <v>0</v>
      </c>
      <c r="D128" s="186">
        <v>0</v>
      </c>
      <c r="E128" s="186">
        <v>0</v>
      </c>
      <c r="F128" s="168"/>
    </row>
  </sheetData>
  <mergeCells count="8">
    <mergeCell ref="C83:E83"/>
    <mergeCell ref="A109:E109"/>
    <mergeCell ref="A82:E82"/>
    <mergeCell ref="A1:B1"/>
    <mergeCell ref="A18:E18"/>
    <mergeCell ref="C19:E19"/>
    <mergeCell ref="A45:E45"/>
    <mergeCell ref="A65:B6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6"/>
  <sheetViews>
    <sheetView topLeftCell="D26" workbookViewId="0">
      <selection activeCell="B5" sqref="B5"/>
    </sheetView>
  </sheetViews>
  <sheetFormatPr defaultRowHeight="15" x14ac:dyDescent="0.25"/>
  <cols>
    <col min="1" max="1" width="38.140625" bestFit="1" customWidth="1"/>
    <col min="2" max="2" width="12.5703125" bestFit="1" customWidth="1"/>
    <col min="3" max="3" width="19" bestFit="1" customWidth="1"/>
    <col min="4" max="5" width="12.5703125" bestFit="1" customWidth="1"/>
    <col min="6" max="6" width="55" style="156" customWidth="1"/>
    <col min="8" max="8" width="37.28515625" bestFit="1" customWidth="1"/>
    <col min="9" max="9" width="12.140625" bestFit="1" customWidth="1"/>
    <col min="10" max="10" width="19" bestFit="1" customWidth="1"/>
    <col min="11" max="12" width="12.140625" bestFit="1" customWidth="1"/>
    <col min="13" max="13" width="63.7109375" style="156" customWidth="1"/>
  </cols>
  <sheetData>
    <row r="1" spans="1:12" x14ac:dyDescent="0.25">
      <c r="A1" s="381" t="s">
        <v>388</v>
      </c>
      <c r="B1" s="381"/>
      <c r="C1" s="57" t="s">
        <v>286</v>
      </c>
      <c r="H1" s="381" t="s">
        <v>388</v>
      </c>
      <c r="I1" s="381"/>
      <c r="J1" s="166"/>
      <c r="K1" s="166"/>
      <c r="L1" s="166"/>
    </row>
    <row r="2" spans="1:12" x14ac:dyDescent="0.25">
      <c r="A2" s="286" t="s">
        <v>386</v>
      </c>
      <c r="B2" s="286">
        <v>24000</v>
      </c>
      <c r="C2" s="57">
        <v>24000</v>
      </c>
      <c r="H2" s="286" t="s">
        <v>386</v>
      </c>
      <c r="I2" s="286">
        <v>24000</v>
      </c>
      <c r="J2" s="58"/>
      <c r="K2" s="166"/>
      <c r="L2" s="166"/>
    </row>
    <row r="3" spans="1:12" x14ac:dyDescent="0.25">
      <c r="A3" s="286" t="s">
        <v>387</v>
      </c>
      <c r="B3" s="312">
        <f>'Food waste'!$H$18</f>
        <v>9000</v>
      </c>
      <c r="C3" s="312">
        <f>'Food waste'!$H$18</f>
        <v>9000</v>
      </c>
      <c r="H3" s="286" t="s">
        <v>387</v>
      </c>
      <c r="I3" s="312">
        <f>'Food waste'!$H$18</f>
        <v>9000</v>
      </c>
      <c r="J3" s="313"/>
      <c r="K3" s="166"/>
      <c r="L3" s="166"/>
    </row>
    <row r="4" spans="1:12" x14ac:dyDescent="0.25">
      <c r="A4" s="286"/>
      <c r="B4" s="312"/>
      <c r="C4" s="312"/>
      <c r="H4" s="286"/>
      <c r="I4" s="312"/>
      <c r="J4" s="313"/>
      <c r="K4" s="166"/>
      <c r="L4" s="166"/>
    </row>
    <row r="5" spans="1:12" x14ac:dyDescent="0.25">
      <c r="A5" s="102" t="s">
        <v>193</v>
      </c>
      <c r="B5" s="88">
        <f>'Food waste'!B30</f>
        <v>1056.2280800995588</v>
      </c>
      <c r="C5" s="88">
        <f>B5</f>
        <v>1056.2280800995588</v>
      </c>
      <c r="D5" s="151"/>
      <c r="E5" s="152"/>
      <c r="H5" s="167" t="s">
        <v>193</v>
      </c>
      <c r="I5" s="169">
        <f>B5</f>
        <v>1056.2280800995588</v>
      </c>
      <c r="J5" s="166"/>
      <c r="K5" s="166"/>
      <c r="L5" s="166"/>
    </row>
    <row r="6" spans="1:12" x14ac:dyDescent="0.25">
      <c r="A6" s="101" t="s">
        <v>194</v>
      </c>
      <c r="B6" s="90">
        <f>B5/2000</f>
        <v>0.52811404004977947</v>
      </c>
      <c r="C6" s="90">
        <f>C5/2000</f>
        <v>0.52811404004977947</v>
      </c>
      <c r="D6" s="151"/>
      <c r="E6" s="152"/>
      <c r="H6" s="170" t="s">
        <v>194</v>
      </c>
      <c r="I6" s="172">
        <f>I5/2000</f>
        <v>0.52811404004977947</v>
      </c>
      <c r="J6" s="166"/>
      <c r="K6" s="166"/>
      <c r="L6" s="166"/>
    </row>
    <row r="7" spans="1:12" x14ac:dyDescent="0.25">
      <c r="A7" s="103" t="s">
        <v>202</v>
      </c>
      <c r="B7" s="75">
        <v>0.15</v>
      </c>
      <c r="C7" s="77">
        <v>0.15</v>
      </c>
      <c r="D7" s="151"/>
      <c r="E7" s="152"/>
      <c r="H7" s="173" t="s">
        <v>202</v>
      </c>
      <c r="I7" s="174">
        <v>0.15</v>
      </c>
      <c r="J7" s="166"/>
    </row>
    <row r="8" spans="1:12" x14ac:dyDescent="0.25">
      <c r="A8" s="103" t="s">
        <v>203</v>
      </c>
      <c r="B8" s="75">
        <v>0.85</v>
      </c>
      <c r="C8" s="77">
        <v>0.85</v>
      </c>
      <c r="D8" s="151"/>
      <c r="E8" s="152"/>
      <c r="H8" s="173" t="s">
        <v>203</v>
      </c>
      <c r="I8" s="174">
        <v>0.85</v>
      </c>
      <c r="J8" s="166"/>
    </row>
    <row r="9" spans="1:12" x14ac:dyDescent="0.25">
      <c r="A9" s="102" t="s">
        <v>204</v>
      </c>
      <c r="B9" s="88">
        <f>B6*B7</f>
        <v>7.9217106007466911E-2</v>
      </c>
      <c r="C9" s="88">
        <f>C6*250</f>
        <v>132.02851001244485</v>
      </c>
      <c r="D9" s="151"/>
      <c r="E9" s="151"/>
      <c r="H9" s="167" t="s">
        <v>204</v>
      </c>
      <c r="I9" s="169">
        <f>I6*I7</f>
        <v>7.9217106007466911E-2</v>
      </c>
      <c r="J9" s="166"/>
    </row>
    <row r="10" spans="1:12" x14ac:dyDescent="0.25">
      <c r="A10" s="102" t="s">
        <v>195</v>
      </c>
      <c r="B10" s="87">
        <f>B3*(B5/B2)*2/5</f>
        <v>158.43421201493382</v>
      </c>
      <c r="C10" s="87">
        <f>C3*(C5/C2)*3/5</f>
        <v>237.65131802240072</v>
      </c>
      <c r="D10" s="151"/>
      <c r="E10" s="152"/>
      <c r="H10" s="64" t="s">
        <v>390</v>
      </c>
      <c r="I10" s="145">
        <f>I5/7</f>
        <v>150.88972572850841</v>
      </c>
      <c r="J10" s="166"/>
    </row>
    <row r="11" spans="1:12" ht="30" x14ac:dyDescent="0.25">
      <c r="A11" s="102" t="s">
        <v>196</v>
      </c>
      <c r="B11" s="88">
        <f>B10/250</f>
        <v>0.63373684805973529</v>
      </c>
      <c r="C11" s="88">
        <f>C10/250</f>
        <v>0.95060527208960288</v>
      </c>
      <c r="D11" s="151"/>
      <c r="E11" s="152"/>
      <c r="H11" s="314" t="s">
        <v>391</v>
      </c>
      <c r="I11" s="169">
        <v>100</v>
      </c>
      <c r="J11" s="166"/>
    </row>
    <row r="12" spans="1:12" x14ac:dyDescent="0.25">
      <c r="A12" s="102"/>
      <c r="B12" s="79"/>
      <c r="C12" s="160"/>
      <c r="D12" s="152"/>
      <c r="E12" s="152"/>
      <c r="H12" s="167" t="s">
        <v>309</v>
      </c>
      <c r="I12" s="168">
        <f>INT(I10/I11)+1</f>
        <v>2</v>
      </c>
      <c r="J12" s="166"/>
    </row>
    <row r="13" spans="1:12" ht="30" x14ac:dyDescent="0.25">
      <c r="A13" s="102" t="s">
        <v>201</v>
      </c>
      <c r="B13" s="88">
        <f>B11+B6</f>
        <v>1.1618508881095146</v>
      </c>
      <c r="C13" s="88">
        <f>C11+C6</f>
        <v>1.4787193121393822</v>
      </c>
      <c r="H13" s="314" t="s">
        <v>389</v>
      </c>
      <c r="I13" s="316">
        <f>INT(I12*7/3)+1</f>
        <v>5</v>
      </c>
      <c r="J13" s="166"/>
    </row>
    <row r="14" spans="1:12" x14ac:dyDescent="0.25">
      <c r="A14" s="102" t="s">
        <v>265</v>
      </c>
      <c r="B14" s="88">
        <f>B13*250</f>
        <v>290.46272202737867</v>
      </c>
      <c r="C14" s="88">
        <f>C13*250</f>
        <v>369.67982803484557</v>
      </c>
      <c r="H14" s="314"/>
      <c r="I14" s="315"/>
      <c r="J14" s="166"/>
    </row>
    <row r="15" spans="1:12" x14ac:dyDescent="0.25">
      <c r="A15" s="103" t="s">
        <v>205</v>
      </c>
      <c r="B15" s="76">
        <f>((B6*15%)+(B11*0%))/B13</f>
        <v>6.8181818181818191E-2</v>
      </c>
      <c r="C15" s="76">
        <f>((C6*15%)+(C11*0%))/C13</f>
        <v>5.3571428571428575E-2</v>
      </c>
      <c r="J15" s="166"/>
    </row>
    <row r="16" spans="1:12" x14ac:dyDescent="0.25">
      <c r="A16" s="142"/>
      <c r="B16" s="143"/>
      <c r="J16" s="166"/>
    </row>
    <row r="17" spans="1:13" x14ac:dyDescent="0.25">
      <c r="H17" s="284"/>
      <c r="I17" s="285"/>
      <c r="J17" s="166"/>
      <c r="K17" s="166"/>
      <c r="L17" s="166"/>
      <c r="M17" s="276"/>
    </row>
    <row r="18" spans="1:13" x14ac:dyDescent="0.25">
      <c r="A18" s="336" t="s">
        <v>364</v>
      </c>
      <c r="B18" s="336"/>
      <c r="C18" s="336"/>
      <c r="D18" s="336"/>
      <c r="E18" s="336"/>
      <c r="F18" s="154"/>
      <c r="H18" s="382" t="s">
        <v>362</v>
      </c>
      <c r="I18" s="383"/>
      <c r="J18" s="383"/>
      <c r="K18" s="383"/>
      <c r="L18" s="384"/>
      <c r="M18" s="187"/>
    </row>
    <row r="19" spans="1:13" x14ac:dyDescent="0.25">
      <c r="A19" s="101"/>
      <c r="B19" s="91" t="s">
        <v>144</v>
      </c>
      <c r="C19" s="337" t="s">
        <v>145</v>
      </c>
      <c r="D19" s="337"/>
      <c r="E19" s="337"/>
      <c r="F19" s="154"/>
      <c r="H19" s="170"/>
      <c r="I19" s="185" t="s">
        <v>144</v>
      </c>
      <c r="J19" s="385" t="s">
        <v>145</v>
      </c>
      <c r="K19" s="386"/>
      <c r="L19" s="387"/>
      <c r="M19" s="187"/>
    </row>
    <row r="20" spans="1:13" x14ac:dyDescent="0.25">
      <c r="A20" s="101"/>
      <c r="B20" s="92"/>
      <c r="C20" s="91" t="s">
        <v>146</v>
      </c>
      <c r="D20" s="91" t="s">
        <v>147</v>
      </c>
      <c r="E20" s="91" t="s">
        <v>148</v>
      </c>
      <c r="F20" s="154"/>
      <c r="H20" s="170"/>
      <c r="I20" s="186"/>
      <c r="J20" s="185" t="s">
        <v>146</v>
      </c>
      <c r="K20" s="185" t="s">
        <v>147</v>
      </c>
      <c r="L20" s="185" t="s">
        <v>148</v>
      </c>
      <c r="M20" s="187"/>
    </row>
    <row r="21" spans="1:13" ht="30" x14ac:dyDescent="0.25">
      <c r="A21" s="170" t="s">
        <v>365</v>
      </c>
      <c r="B21" s="92">
        <v>59950</v>
      </c>
      <c r="C21" s="92">
        <v>0</v>
      </c>
      <c r="D21" s="92">
        <v>0</v>
      </c>
      <c r="E21" s="92">
        <v>0</v>
      </c>
      <c r="F21" s="154" t="s">
        <v>266</v>
      </c>
      <c r="H21" s="170" t="s">
        <v>365</v>
      </c>
      <c r="I21" s="186">
        <v>0</v>
      </c>
      <c r="J21" s="186">
        <v>0</v>
      </c>
      <c r="K21" s="186">
        <v>0</v>
      </c>
      <c r="L21" s="186">
        <v>0</v>
      </c>
      <c r="M21" s="187"/>
    </row>
    <row r="22" spans="1:13" ht="30" x14ac:dyDescent="0.25">
      <c r="A22" s="101" t="s">
        <v>177</v>
      </c>
      <c r="B22" s="92">
        <v>0</v>
      </c>
      <c r="C22" s="92">
        <v>0</v>
      </c>
      <c r="D22" s="92">
        <v>0</v>
      </c>
      <c r="E22" s="92">
        <v>0</v>
      </c>
      <c r="F22" s="154" t="s">
        <v>278</v>
      </c>
      <c r="H22" s="170" t="s">
        <v>177</v>
      </c>
      <c r="I22" s="186">
        <f>I13*80</f>
        <v>400</v>
      </c>
      <c r="J22" s="186">
        <v>0</v>
      </c>
      <c r="K22" s="186">
        <v>0</v>
      </c>
      <c r="L22" s="186">
        <v>0</v>
      </c>
      <c r="M22" s="187" t="s">
        <v>292</v>
      </c>
    </row>
    <row r="23" spans="1:13" x14ac:dyDescent="0.25">
      <c r="A23" s="101"/>
      <c r="B23" s="92"/>
      <c r="C23" s="92"/>
      <c r="D23" s="92"/>
      <c r="E23" s="92"/>
      <c r="F23" s="154"/>
      <c r="H23" s="247" t="s">
        <v>294</v>
      </c>
      <c r="I23" s="248">
        <v>0</v>
      </c>
      <c r="J23" s="248">
        <f>'Proposed - Offsite Grinding'!C23*(I5/I2)</f>
        <v>2860.617716936305</v>
      </c>
      <c r="K23" s="248">
        <f>'Proposed - Offsite Grinding'!D23*(I5/I2)</f>
        <v>3740.8077836859375</v>
      </c>
      <c r="L23" s="248">
        <f>'Proposed - Offsite Grinding'!E23*(I5/I2)</f>
        <v>4841.045367122978</v>
      </c>
      <c r="M23" s="187"/>
    </row>
    <row r="24" spans="1:13" x14ac:dyDescent="0.25">
      <c r="A24" s="105" t="s">
        <v>103</v>
      </c>
      <c r="B24" s="92">
        <f>SUM(B21:B22)</f>
        <v>59950</v>
      </c>
      <c r="C24" s="92">
        <f>SUM(C21:C22)</f>
        <v>0</v>
      </c>
      <c r="D24" s="92">
        <f>SUM(D21:D22)</f>
        <v>0</v>
      </c>
      <c r="E24" s="92">
        <f>SUM(E21:E22)</f>
        <v>0</v>
      </c>
      <c r="F24" s="154"/>
      <c r="H24" s="188" t="s">
        <v>103</v>
      </c>
      <c r="I24" s="186">
        <f>SUM(I21:I22)</f>
        <v>400</v>
      </c>
      <c r="J24" s="186">
        <f>SUM(J21:J22)</f>
        <v>0</v>
      </c>
      <c r="K24" s="186">
        <f>SUM(K21:K22)</f>
        <v>0</v>
      </c>
      <c r="L24" s="186">
        <f>SUM(L21:L22)</f>
        <v>0</v>
      </c>
      <c r="M24" s="187"/>
    </row>
    <row r="25" spans="1:13" x14ac:dyDescent="0.25">
      <c r="A25" s="101"/>
      <c r="B25" s="92"/>
      <c r="C25" s="94" t="s">
        <v>151</v>
      </c>
      <c r="D25" s="94"/>
      <c r="E25" s="94"/>
      <c r="F25" s="154"/>
      <c r="H25" s="170"/>
      <c r="I25" s="186"/>
      <c r="J25" s="189" t="s">
        <v>151</v>
      </c>
      <c r="K25" s="189"/>
      <c r="L25" s="189"/>
      <c r="M25" s="187"/>
    </row>
    <row r="26" spans="1:13" ht="30" x14ac:dyDescent="0.25">
      <c r="A26" s="98" t="s">
        <v>103</v>
      </c>
      <c r="B26" s="71">
        <f>D26</f>
        <v>65945</v>
      </c>
      <c r="C26" s="92">
        <f>B24</f>
        <v>59950</v>
      </c>
      <c r="D26" s="92">
        <f>B24*1.1</f>
        <v>65945</v>
      </c>
      <c r="E26" s="92">
        <f>B24*1.2</f>
        <v>71940</v>
      </c>
      <c r="F26" s="154" t="s">
        <v>260</v>
      </c>
      <c r="H26" s="190" t="s">
        <v>103</v>
      </c>
      <c r="I26" s="191">
        <f>K26</f>
        <v>4140.8077836859375</v>
      </c>
      <c r="J26" s="186">
        <f>J23+$I$24</f>
        <v>3260.617716936305</v>
      </c>
      <c r="K26" s="186">
        <f t="shared" ref="K26:L26" si="0">K23+$I$24</f>
        <v>4140.8077836859375</v>
      </c>
      <c r="L26" s="186">
        <f t="shared" si="0"/>
        <v>5241.045367122978</v>
      </c>
      <c r="M26" s="187" t="s">
        <v>276</v>
      </c>
    </row>
    <row r="27" spans="1:13" ht="30" x14ac:dyDescent="0.25">
      <c r="A27" s="101" t="s">
        <v>270</v>
      </c>
      <c r="B27" s="147">
        <v>0.03</v>
      </c>
      <c r="C27" s="148">
        <v>0.03</v>
      </c>
      <c r="D27" s="148">
        <v>0.03</v>
      </c>
      <c r="E27" s="148">
        <v>0.03</v>
      </c>
      <c r="F27" s="154" t="s">
        <v>271</v>
      </c>
      <c r="H27" s="170" t="s">
        <v>270</v>
      </c>
      <c r="I27" s="192">
        <v>0.03</v>
      </c>
      <c r="J27" s="193">
        <v>0.03</v>
      </c>
      <c r="K27" s="193">
        <v>0.03</v>
      </c>
      <c r="L27" s="193">
        <v>0.03</v>
      </c>
      <c r="M27" s="187" t="s">
        <v>271</v>
      </c>
    </row>
    <row r="28" spans="1:13" x14ac:dyDescent="0.25">
      <c r="A28" s="101" t="s">
        <v>273</v>
      </c>
      <c r="B28" s="149">
        <v>15</v>
      </c>
      <c r="C28" s="150">
        <v>15</v>
      </c>
      <c r="D28" s="150">
        <v>15</v>
      </c>
      <c r="E28" s="150">
        <v>15</v>
      </c>
      <c r="F28" s="154" t="s">
        <v>272</v>
      </c>
      <c r="H28" s="170" t="s">
        <v>273</v>
      </c>
      <c r="I28" s="194">
        <v>15</v>
      </c>
      <c r="J28" s="195">
        <v>15</v>
      </c>
      <c r="K28" s="195">
        <v>15</v>
      </c>
      <c r="L28" s="195">
        <v>15</v>
      </c>
      <c r="M28" s="187" t="s">
        <v>272</v>
      </c>
    </row>
    <row r="29" spans="1:13" x14ac:dyDescent="0.25">
      <c r="A29" s="101" t="s">
        <v>274</v>
      </c>
      <c r="B29" s="160">
        <f>(((1+B27)^B28)-1)/(B27*(1+B27)^B28)</f>
        <v>11.937935086776077</v>
      </c>
      <c r="C29" s="160">
        <f>(((1+C27)^C28)-1)/(C27*(1+C27)^C28)</f>
        <v>11.937935086776077</v>
      </c>
      <c r="D29" s="160">
        <f>(((1+D27)^D28)-1)/(D27*(1+D27)^D28)</f>
        <v>11.937935086776077</v>
      </c>
      <c r="E29" s="160">
        <f>(((1+E27)^E28)-1)/(E27*(1+E27)^E28)</f>
        <v>11.937935086776077</v>
      </c>
      <c r="F29" s="154"/>
      <c r="H29" s="170" t="s">
        <v>274</v>
      </c>
      <c r="I29" s="196">
        <f>(((1+I27)^I28)-1)/(I27*(1+I27)^I28)</f>
        <v>11.937935086776077</v>
      </c>
      <c r="J29" s="196">
        <f>(((1+J27)^J28)-1)/(J27*(1+J27)^J28)</f>
        <v>11.937935086776077</v>
      </c>
      <c r="K29" s="196">
        <f>(((1+K27)^K28)-1)/(K27*(1+K27)^K28)</f>
        <v>11.937935086776077</v>
      </c>
      <c r="L29" s="196">
        <f>(((1+L27)^L28)-1)/(L27*(1+L27)^L28)</f>
        <v>11.937935086776077</v>
      </c>
      <c r="M29" s="187"/>
    </row>
    <row r="30" spans="1:13" ht="30" x14ac:dyDescent="0.25">
      <c r="A30" s="101" t="s">
        <v>269</v>
      </c>
      <c r="B30" s="91">
        <f>B26/B29</f>
        <v>5523.9871485855856</v>
      </c>
      <c r="C30" s="92">
        <f>C26/C29</f>
        <v>5021.8064987141688</v>
      </c>
      <c r="D30" s="92">
        <f>D26/D29</f>
        <v>5523.9871485855856</v>
      </c>
      <c r="E30" s="92">
        <f>E26/E29</f>
        <v>6026.1677984570024</v>
      </c>
      <c r="F30" s="154" t="s">
        <v>275</v>
      </c>
      <c r="H30" s="170" t="s">
        <v>269</v>
      </c>
      <c r="I30" s="185">
        <f>I26/I29</f>
        <v>346.86130839099673</v>
      </c>
      <c r="J30" s="185">
        <f>J26/J29</f>
        <v>273.13079634250698</v>
      </c>
      <c r="K30" s="185">
        <f>K26/K29</f>
        <v>346.86130839099673</v>
      </c>
      <c r="L30" s="185">
        <f>L26/L29</f>
        <v>439.02444845160898</v>
      </c>
      <c r="M30" s="187" t="s">
        <v>275</v>
      </c>
    </row>
    <row r="31" spans="1:13" x14ac:dyDescent="0.25">
      <c r="A31" s="98"/>
      <c r="B31" s="92"/>
      <c r="C31" s="92"/>
      <c r="D31" s="92"/>
      <c r="E31" s="92"/>
      <c r="F31" s="154"/>
      <c r="H31" s="190"/>
      <c r="I31" s="186"/>
      <c r="J31" s="186"/>
      <c r="K31" s="186"/>
      <c r="L31" s="186"/>
      <c r="M31" s="187"/>
    </row>
    <row r="32" spans="1:13" x14ac:dyDescent="0.25">
      <c r="A32" s="101" t="s">
        <v>211</v>
      </c>
      <c r="B32" s="92"/>
      <c r="C32" s="92"/>
      <c r="D32" s="92"/>
      <c r="E32" s="92"/>
      <c r="F32" s="154"/>
      <c r="H32" s="170" t="s">
        <v>211</v>
      </c>
      <c r="I32" s="186"/>
      <c r="J32" s="186"/>
      <c r="K32" s="186"/>
      <c r="L32" s="186"/>
      <c r="M32" s="187"/>
    </row>
    <row r="33" spans="1:13" ht="30" x14ac:dyDescent="0.25">
      <c r="A33" s="104" t="s">
        <v>153</v>
      </c>
      <c r="B33" s="92">
        <v>100</v>
      </c>
      <c r="C33" s="92">
        <f>B33*0.9</f>
        <v>90</v>
      </c>
      <c r="D33" s="92">
        <f>B33*1</f>
        <v>100</v>
      </c>
      <c r="E33" s="92">
        <f>B33*1.1</f>
        <v>110.00000000000001</v>
      </c>
      <c r="F33" s="154" t="s">
        <v>182</v>
      </c>
      <c r="H33" s="183" t="s">
        <v>153</v>
      </c>
      <c r="I33" s="186">
        <v>0</v>
      </c>
      <c r="J33" s="186">
        <v>0</v>
      </c>
      <c r="K33" s="186">
        <v>0</v>
      </c>
      <c r="L33" s="186">
        <v>0</v>
      </c>
      <c r="M33" s="187"/>
    </row>
    <row r="34" spans="1:13" ht="30" x14ac:dyDescent="0.25">
      <c r="A34" s="104" t="s">
        <v>154</v>
      </c>
      <c r="B34" s="92">
        <v>0</v>
      </c>
      <c r="C34" s="92">
        <v>0</v>
      </c>
      <c r="D34" s="92">
        <v>0</v>
      </c>
      <c r="E34" s="92">
        <v>0</v>
      </c>
      <c r="F34" s="95" t="s">
        <v>263</v>
      </c>
      <c r="H34" s="183" t="s">
        <v>154</v>
      </c>
      <c r="I34" s="186">
        <v>0</v>
      </c>
      <c r="J34" s="186">
        <v>0</v>
      </c>
      <c r="K34" s="186">
        <v>0</v>
      </c>
      <c r="L34" s="186">
        <v>0</v>
      </c>
      <c r="M34" s="198"/>
    </row>
    <row r="35" spans="1:13" ht="30" x14ac:dyDescent="0.25">
      <c r="A35" s="104" t="s">
        <v>155</v>
      </c>
      <c r="B35" s="92">
        <f>B10*4.18*32/1000</f>
        <v>21.192160199117545</v>
      </c>
      <c r="C35" s="92">
        <f>B10*(1/2)*4.18*32/1000</f>
        <v>10.596080099558773</v>
      </c>
      <c r="D35" s="92">
        <f>B35</f>
        <v>21.192160199117545</v>
      </c>
      <c r="E35" s="92">
        <f>B10*(3/2)*4.18*32/1000</f>
        <v>31.788240298676321</v>
      </c>
      <c r="F35" s="154" t="s">
        <v>264</v>
      </c>
      <c r="H35" s="183" t="s">
        <v>155</v>
      </c>
      <c r="I35" s="186">
        <v>0</v>
      </c>
      <c r="J35" s="186">
        <v>0</v>
      </c>
      <c r="K35" s="186">
        <v>0</v>
      </c>
      <c r="L35" s="186">
        <v>0</v>
      </c>
      <c r="M35" s="187"/>
    </row>
    <row r="36" spans="1:13" ht="45" x14ac:dyDescent="0.25">
      <c r="A36" s="104" t="s">
        <v>161</v>
      </c>
      <c r="B36" s="92">
        <f>C14*30*32/1000</f>
        <v>354.89263491345173</v>
      </c>
      <c r="C36" s="92">
        <f>C14*20*32/1000</f>
        <v>236.59508994230117</v>
      </c>
      <c r="D36" s="92">
        <f>B36</f>
        <v>354.89263491345173</v>
      </c>
      <c r="E36" s="92">
        <f>C14*40*32/1000</f>
        <v>473.19017988460234</v>
      </c>
      <c r="F36" s="154" t="s">
        <v>285</v>
      </c>
      <c r="H36" s="183" t="s">
        <v>305</v>
      </c>
      <c r="I36" s="8">
        <f>K36</f>
        <v>3360</v>
      </c>
      <c r="J36" s="8">
        <f>12*7*32</f>
        <v>2688</v>
      </c>
      <c r="K36" s="8">
        <f>15*32*7</f>
        <v>3360</v>
      </c>
      <c r="L36" s="8">
        <f>20*7*32</f>
        <v>4480</v>
      </c>
      <c r="M36" s="154" t="s">
        <v>412</v>
      </c>
    </row>
    <row r="37" spans="1:13" ht="30" x14ac:dyDescent="0.25">
      <c r="A37" s="104" t="s">
        <v>162</v>
      </c>
      <c r="B37" s="92">
        <f>D37</f>
        <v>1064.6779047403552</v>
      </c>
      <c r="C37" s="92">
        <f>0.04*C14*32</f>
        <v>473.19017988460234</v>
      </c>
      <c r="D37" s="92">
        <f>0.09*C14*32</f>
        <v>1064.6779047403552</v>
      </c>
      <c r="E37" s="92">
        <f>0.11*C14*32</f>
        <v>1301.2729946826564</v>
      </c>
      <c r="F37" s="154" t="s">
        <v>348</v>
      </c>
      <c r="H37" s="183" t="s">
        <v>161</v>
      </c>
      <c r="I37" s="186">
        <f>K37</f>
        <v>844.982464079647</v>
      </c>
      <c r="J37" s="186">
        <f>50*3*32*(I5/I2)*3</f>
        <v>633.73684805973528</v>
      </c>
      <c r="K37" s="186">
        <f>50*4*32*(I5/I2)*3</f>
        <v>844.982464079647</v>
      </c>
      <c r="L37" s="186">
        <f>50*6*32*(I5/I2)*3</f>
        <v>1267.4736961194706</v>
      </c>
      <c r="M37" s="187" t="s">
        <v>293</v>
      </c>
    </row>
    <row r="38" spans="1:13" ht="30" x14ac:dyDescent="0.25">
      <c r="A38" s="104" t="s">
        <v>7</v>
      </c>
      <c r="B38" s="92">
        <f>'Current - Aerobic (EnviroPure)'!$B$59</f>
        <v>2500</v>
      </c>
      <c r="C38" s="92">
        <f>B38*0.9</f>
        <v>2250</v>
      </c>
      <c r="D38" s="92">
        <f>B38*1</f>
        <v>2500</v>
      </c>
      <c r="E38" s="92">
        <f>B38*1.1</f>
        <v>2750</v>
      </c>
      <c r="F38" s="154" t="s">
        <v>191</v>
      </c>
      <c r="H38" s="183" t="s">
        <v>162</v>
      </c>
      <c r="I38" s="186">
        <f>21.53*I6*32</f>
        <v>363.8494490326961</v>
      </c>
      <c r="J38" s="186">
        <f>I38*0.9</f>
        <v>327.46450412942647</v>
      </c>
      <c r="K38" s="186">
        <f>I38*1</f>
        <v>363.8494490326961</v>
      </c>
      <c r="L38" s="186">
        <f>I38*1.1</f>
        <v>400.23439393596573</v>
      </c>
      <c r="M38" s="187" t="s">
        <v>163</v>
      </c>
    </row>
    <row r="39" spans="1:13" ht="30" x14ac:dyDescent="0.25">
      <c r="A39" s="104" t="s">
        <v>289</v>
      </c>
      <c r="B39" s="112">
        <f>129*12</f>
        <v>1548</v>
      </c>
      <c r="C39" s="112">
        <f>129*12</f>
        <v>1548</v>
      </c>
      <c r="D39" s="112">
        <f>129*12</f>
        <v>1548</v>
      </c>
      <c r="E39" s="112">
        <f>129*12</f>
        <v>1548</v>
      </c>
      <c r="F39" s="154" t="s">
        <v>326</v>
      </c>
      <c r="H39" s="183" t="s">
        <v>186</v>
      </c>
      <c r="I39" s="186">
        <f>50*3*32*(I5/I2)</f>
        <v>211.24561601991175</v>
      </c>
      <c r="J39" s="186">
        <f>I39*0.9</f>
        <v>190.12105441792059</v>
      </c>
      <c r="K39" s="186">
        <f>I39</f>
        <v>211.24561601991175</v>
      </c>
      <c r="L39" s="186">
        <f>I39*1.1</f>
        <v>232.37017762190294</v>
      </c>
      <c r="M39" s="187" t="s">
        <v>296</v>
      </c>
    </row>
    <row r="40" spans="1:13" x14ac:dyDescent="0.25">
      <c r="A40" s="106" t="s">
        <v>214</v>
      </c>
      <c r="B40" s="94">
        <f>SUM(B33:B38)</f>
        <v>4040.7626998529245</v>
      </c>
      <c r="C40" s="94">
        <f>SUM(C33:C38)</f>
        <v>3060.3813499264625</v>
      </c>
      <c r="D40" s="94">
        <f>SUM(D33:D38)</f>
        <v>4040.7626998529245</v>
      </c>
      <c r="E40" s="94">
        <f>SUM(E33:E38)</f>
        <v>4666.2514148659357</v>
      </c>
      <c r="F40" s="154"/>
      <c r="H40" s="183" t="s">
        <v>7</v>
      </c>
      <c r="I40" s="186">
        <v>0</v>
      </c>
      <c r="J40" s="186">
        <v>0</v>
      </c>
      <c r="K40" s="186">
        <v>0</v>
      </c>
      <c r="L40" s="186">
        <v>0</v>
      </c>
      <c r="M40" s="187"/>
    </row>
    <row r="41" spans="1:13" x14ac:dyDescent="0.25">
      <c r="A41" s="105" t="s">
        <v>212</v>
      </c>
      <c r="B41" s="94">
        <f>B30+B40</f>
        <v>9564.7498484385105</v>
      </c>
      <c r="C41" s="94">
        <f>C30+C40</f>
        <v>8082.1878486406313</v>
      </c>
      <c r="D41" s="94">
        <f>D30+D40</f>
        <v>9564.7498484385105</v>
      </c>
      <c r="E41" s="94">
        <f>E30+E40</f>
        <v>10692.419213322937</v>
      </c>
      <c r="F41" s="157" t="s">
        <v>213</v>
      </c>
      <c r="H41" s="200"/>
      <c r="I41" s="201"/>
      <c r="J41" s="201"/>
      <c r="K41" s="201"/>
      <c r="L41" s="201"/>
      <c r="M41" s="277"/>
    </row>
    <row r="42" spans="1:13" x14ac:dyDescent="0.25">
      <c r="A42" s="105"/>
      <c r="B42" s="91"/>
      <c r="C42" s="91"/>
      <c r="D42" s="91"/>
      <c r="E42" s="91"/>
      <c r="F42" s="161"/>
      <c r="H42" s="205" t="s">
        <v>214</v>
      </c>
      <c r="I42" s="189">
        <f>SUM(I33:I40)</f>
        <v>4780.0775291322543</v>
      </c>
      <c r="J42" s="189">
        <f>SUM(J33:J40)</f>
        <v>3839.3224066070825</v>
      </c>
      <c r="K42" s="189">
        <f>SUM(K33:K40)</f>
        <v>4780.0775291322543</v>
      </c>
      <c r="L42" s="189">
        <f>SUM(L33:L40)</f>
        <v>6380.0782676773388</v>
      </c>
      <c r="M42" s="187"/>
    </row>
    <row r="43" spans="1:13" x14ac:dyDescent="0.25">
      <c r="A43" s="369" t="s">
        <v>165</v>
      </c>
      <c r="B43" s="369"/>
      <c r="C43" s="369"/>
      <c r="D43" s="369"/>
      <c r="E43" s="369"/>
      <c r="F43" s="162"/>
      <c r="H43" s="206" t="s">
        <v>212</v>
      </c>
      <c r="I43" s="207">
        <f>I30+I42</f>
        <v>5126.9388375232511</v>
      </c>
      <c r="J43" s="207">
        <f>J30+J42</f>
        <v>4112.4532029495895</v>
      </c>
      <c r="K43" s="207">
        <f>K30+K42</f>
        <v>5126.9388375232511</v>
      </c>
      <c r="L43" s="207">
        <f>L30+L42</f>
        <v>6819.1027161289476</v>
      </c>
      <c r="M43" s="278" t="s">
        <v>213</v>
      </c>
    </row>
    <row r="44" spans="1:13" x14ac:dyDescent="0.25">
      <c r="A44" s="98" t="s">
        <v>221</v>
      </c>
      <c r="B44" s="92"/>
      <c r="C44" s="92"/>
      <c r="D44" s="92"/>
      <c r="E44" s="92"/>
      <c r="F44" s="154"/>
      <c r="H44" s="209"/>
      <c r="I44" s="212"/>
      <c r="J44" s="212"/>
      <c r="K44" s="212"/>
      <c r="L44" s="212"/>
      <c r="M44" s="279"/>
    </row>
    <row r="45" spans="1:13" x14ac:dyDescent="0.25">
      <c r="A45" s="99" t="s">
        <v>169</v>
      </c>
      <c r="B45" s="92">
        <f>'Biogas to electricity - Input'!$D$35*(B6/'Proposed - Grind2Energy'!B3)</f>
        <v>201.350992512076</v>
      </c>
      <c r="C45" s="92">
        <f>B45*0.9</f>
        <v>181.2158932608684</v>
      </c>
      <c r="D45" s="92">
        <f>B45</f>
        <v>201.350992512076</v>
      </c>
      <c r="E45" s="92">
        <f>B45*1.1</f>
        <v>221.48609176328361</v>
      </c>
      <c r="F45" s="154" t="s">
        <v>168</v>
      </c>
      <c r="H45" s="388" t="s">
        <v>165</v>
      </c>
      <c r="I45" s="389"/>
      <c r="J45" s="389"/>
      <c r="K45" s="389"/>
      <c r="L45" s="390"/>
      <c r="M45" s="280"/>
    </row>
    <row r="46" spans="1:13" x14ac:dyDescent="0.25">
      <c r="A46" s="100" t="s">
        <v>180</v>
      </c>
      <c r="B46" s="92">
        <f>'Biogas to electricity - Input'!$F$35*(B6/'Proposed - Grind2Energy'!B3)</f>
        <v>8.2023610225809254</v>
      </c>
      <c r="C46" s="92">
        <f>B46*0.9</f>
        <v>7.3821249203228332</v>
      </c>
      <c r="D46" s="92">
        <f>B46</f>
        <v>8.2023610225809254</v>
      </c>
      <c r="E46" s="92">
        <f>B46*1.1</f>
        <v>9.0225971248390184</v>
      </c>
      <c r="F46" s="154" t="s">
        <v>166</v>
      </c>
      <c r="H46" s="190" t="s">
        <v>221</v>
      </c>
      <c r="I46" s="186"/>
      <c r="J46" s="186"/>
      <c r="K46" s="186"/>
      <c r="L46" s="186"/>
      <c r="M46" s="187"/>
    </row>
    <row r="47" spans="1:13" x14ac:dyDescent="0.25">
      <c r="A47" s="99" t="s">
        <v>167</v>
      </c>
      <c r="B47" s="92">
        <f>'Biogas to electricity - Input'!$E$35*(B6/'Proposed - Grind2Energy'!B3)</f>
        <v>38.287735703541166</v>
      </c>
      <c r="C47" s="92">
        <f>B47*0.9</f>
        <v>34.45896213318705</v>
      </c>
      <c r="D47" s="92">
        <f>B47</f>
        <v>38.287735703541166</v>
      </c>
      <c r="E47" s="92">
        <f>B47*1.1</f>
        <v>42.116509273895289</v>
      </c>
      <c r="F47" s="154" t="s">
        <v>168</v>
      </c>
      <c r="H47" s="217" t="s">
        <v>169</v>
      </c>
      <c r="I47" s="186">
        <f>'Biogas to electricity - Input'!$D$35*(I5/I2)</f>
        <v>201.35099251207598</v>
      </c>
      <c r="J47" s="186">
        <f>I47*0.9</f>
        <v>181.21589326086837</v>
      </c>
      <c r="K47" s="186">
        <f>I47</f>
        <v>201.35099251207598</v>
      </c>
      <c r="L47" s="186">
        <f>I47*1.1</f>
        <v>221.48609176328358</v>
      </c>
      <c r="M47" s="187" t="s">
        <v>168</v>
      </c>
    </row>
    <row r="48" spans="1:13" x14ac:dyDescent="0.25">
      <c r="A48" s="99" t="s">
        <v>170</v>
      </c>
      <c r="B48" s="92">
        <f>'Alton report, Credit Sales'!$D$31*(B6/'Proposed - Grind2Energy'!B3)</f>
        <v>-122.39888702681189</v>
      </c>
      <c r="C48" s="92">
        <f>B48*0.9</f>
        <v>-110.15899832413071</v>
      </c>
      <c r="D48" s="92">
        <f>B48</f>
        <v>-122.39888702681189</v>
      </c>
      <c r="E48" s="92">
        <f>B48*1.1</f>
        <v>-134.63877572949309</v>
      </c>
      <c r="F48" s="154"/>
      <c r="H48" s="218" t="s">
        <v>180</v>
      </c>
      <c r="I48" s="186">
        <f>'Biogas to electricity - Input'!$F$35*(I5/I2)</f>
        <v>8.2023610225809236</v>
      </c>
      <c r="J48" s="186">
        <f>I48*0.9</f>
        <v>7.3821249203228314</v>
      </c>
      <c r="K48" s="186">
        <f>I48</f>
        <v>8.2023610225809236</v>
      </c>
      <c r="L48" s="186">
        <f>I48*1.1</f>
        <v>9.0225971248390167</v>
      </c>
      <c r="M48" s="187" t="s">
        <v>166</v>
      </c>
    </row>
    <row r="49" spans="1:13" x14ac:dyDescent="0.25">
      <c r="A49" s="97" t="s">
        <v>217</v>
      </c>
      <c r="B49" s="94">
        <f>SUM(B45:B48)</f>
        <v>125.4422022113862</v>
      </c>
      <c r="C49" s="94">
        <f>SUM(C45:C48)</f>
        <v>112.89798199024757</v>
      </c>
      <c r="D49" s="94">
        <f>SUM(D45:D48)</f>
        <v>125.4422022113862</v>
      </c>
      <c r="E49" s="94">
        <f>SUM(E45:E48)</f>
        <v>137.98642243252482</v>
      </c>
      <c r="F49" s="157" t="s">
        <v>218</v>
      </c>
      <c r="H49" s="217" t="s">
        <v>167</v>
      </c>
      <c r="I49" s="186">
        <f>'Biogas to electricity - Input'!$E$35*(I5/I2)</f>
        <v>38.287735703541159</v>
      </c>
      <c r="J49" s="186">
        <f>I49*0.9</f>
        <v>34.458962133187043</v>
      </c>
      <c r="K49" s="186">
        <f>I49</f>
        <v>38.287735703541159</v>
      </c>
      <c r="L49" s="186">
        <f>I49*1.1</f>
        <v>42.116509273895275</v>
      </c>
      <c r="M49" s="187" t="s">
        <v>168</v>
      </c>
    </row>
    <row r="50" spans="1:13" x14ac:dyDescent="0.25">
      <c r="A50" s="102"/>
      <c r="B50" s="79"/>
      <c r="C50" s="79"/>
      <c r="D50" s="79"/>
      <c r="E50" s="79"/>
      <c r="F50" s="154"/>
      <c r="H50" s="217" t="s">
        <v>170</v>
      </c>
      <c r="I50" s="186">
        <f>'Alton report, Credit Sales'!$D$31*(I5/I2)</f>
        <v>-122.39888702681188</v>
      </c>
      <c r="J50" s="186">
        <f>I50*0.9</f>
        <v>-110.15899832413069</v>
      </c>
      <c r="K50" s="186">
        <f>I50</f>
        <v>-122.39888702681188</v>
      </c>
      <c r="L50" s="186">
        <f>I50*1.1</f>
        <v>-134.63877572949306</v>
      </c>
      <c r="M50" s="187"/>
    </row>
    <row r="51" spans="1:13" x14ac:dyDescent="0.25">
      <c r="A51" s="101" t="s">
        <v>222</v>
      </c>
      <c r="B51" s="79"/>
      <c r="C51" s="79"/>
      <c r="D51" s="79"/>
      <c r="E51" s="79"/>
      <c r="F51" s="154"/>
      <c r="H51" s="219" t="s">
        <v>217</v>
      </c>
      <c r="I51" s="189">
        <f>SUM(I47:I50)</f>
        <v>125.44220221138619</v>
      </c>
      <c r="J51" s="189">
        <f>SUM(J47:J50)</f>
        <v>112.89798199024756</v>
      </c>
      <c r="K51" s="189">
        <f>SUM(K47:K50)</f>
        <v>125.44220221138619</v>
      </c>
      <c r="L51" s="189">
        <f>SUM(L47:L50)</f>
        <v>137.98642243252485</v>
      </c>
      <c r="M51" s="281" t="s">
        <v>218</v>
      </c>
    </row>
    <row r="52" spans="1:13" x14ac:dyDescent="0.25">
      <c r="A52" s="101" t="s">
        <v>219</v>
      </c>
      <c r="B52" s="79"/>
      <c r="C52" s="79"/>
      <c r="D52" s="79"/>
      <c r="E52" s="79"/>
      <c r="F52" s="154"/>
      <c r="H52" s="167"/>
      <c r="I52" s="168"/>
      <c r="J52" s="168"/>
      <c r="K52" s="168"/>
      <c r="L52" s="168"/>
      <c r="M52" s="187"/>
    </row>
    <row r="53" spans="1:13" x14ac:dyDescent="0.25">
      <c r="A53" s="100" t="s">
        <v>55</v>
      </c>
      <c r="B53" s="92">
        <f>'Alton report, Credit Sales'!$C$28*(B6/'Proposed - Grind2Energy'!B3)</f>
        <v>425.31757172943838</v>
      </c>
      <c r="C53" s="92">
        <f>'Alton report, Credit Sales'!$C$27*0.75*(B6/'Proposed - Grind2Energy'!B3)</f>
        <v>159.49408939853939</v>
      </c>
      <c r="D53" s="92">
        <f>B53</f>
        <v>425.31757172943838</v>
      </c>
      <c r="E53" s="92">
        <f>'Alton report, Credit Sales'!$C$27*2.75*(B6/'Proposed - Grind2Energy'!B3)</f>
        <v>584.81166112797769</v>
      </c>
      <c r="F53" s="154" t="s">
        <v>361</v>
      </c>
      <c r="H53" s="170" t="s">
        <v>222</v>
      </c>
      <c r="I53" s="168"/>
      <c r="J53" s="168"/>
      <c r="K53" s="168"/>
      <c r="L53" s="168"/>
      <c r="M53" s="187"/>
    </row>
    <row r="54" spans="1:13" ht="30" x14ac:dyDescent="0.25">
      <c r="A54" s="108" t="s">
        <v>173</v>
      </c>
      <c r="B54" s="92">
        <f>'Alton report, Credit Sales'!$E$5*(B6/'Proposed - Grind2Energy'!B3)</f>
        <v>96.332612400257418</v>
      </c>
      <c r="C54" s="92">
        <f>'Alton report, Credit Sales'!$C$5*50*(B6/'Proposed - Grind2Energy'!B3)</f>
        <v>48.166306200128709</v>
      </c>
      <c r="D54" s="92">
        <f>B54</f>
        <v>96.332612400257418</v>
      </c>
      <c r="E54" s="92">
        <f>'Alton report, Credit Sales'!$C$5*150*(B6/'Proposed - Grind2Energy'!B3)</f>
        <v>144.49891860038613</v>
      </c>
      <c r="F54" s="154" t="s">
        <v>174</v>
      </c>
      <c r="H54" s="170" t="s">
        <v>219</v>
      </c>
      <c r="I54" s="168"/>
      <c r="J54" s="168"/>
      <c r="K54" s="168"/>
      <c r="L54" s="168"/>
      <c r="M54" s="187"/>
    </row>
    <row r="55" spans="1:13" x14ac:dyDescent="0.25">
      <c r="A55" s="101" t="s">
        <v>220</v>
      </c>
      <c r="B55" s="92">
        <f>SUM(B53:B54)</f>
        <v>521.65018412969584</v>
      </c>
      <c r="C55" s="92">
        <f>SUM(C53:C54)</f>
        <v>207.66039559866809</v>
      </c>
      <c r="D55" s="92">
        <f>SUM(D53:D54)</f>
        <v>521.65018412969584</v>
      </c>
      <c r="E55" s="92">
        <f>SUM(E53:E54)</f>
        <v>729.31057972836379</v>
      </c>
      <c r="F55" s="154"/>
      <c r="H55" s="100" t="s">
        <v>55</v>
      </c>
      <c r="I55" s="92">
        <f>'Alton report, Credit Sales'!$C$28*(I5/I2)</f>
        <v>425.31757172943833</v>
      </c>
      <c r="J55" s="92">
        <f>'Alton report, Credit Sales'!$C$27*0.75*(I5/I2)</f>
        <v>159.49408939853939</v>
      </c>
      <c r="K55" s="92">
        <f>I55</f>
        <v>425.31757172943833</v>
      </c>
      <c r="L55" s="92">
        <f>'Alton report, Credit Sales'!$C$27*2.75*(I5/I2)</f>
        <v>584.81166112797769</v>
      </c>
      <c r="M55" s="154" t="s">
        <v>361</v>
      </c>
    </row>
    <row r="56" spans="1:13" x14ac:dyDescent="0.25">
      <c r="A56" s="99" t="s">
        <v>172</v>
      </c>
      <c r="B56" s="92">
        <f>'Alton report, Credit Sales'!$C$39*(B6/'Proposed - Grind2Energy'!B3)</f>
        <v>54.317307085566583</v>
      </c>
      <c r="C56" s="92">
        <f>D56*0.9</f>
        <v>48.885576377009926</v>
      </c>
      <c r="D56" s="92">
        <f>B56</f>
        <v>54.317307085566583</v>
      </c>
      <c r="E56" s="92">
        <f>B56*1.1</f>
        <v>59.749037794123247</v>
      </c>
      <c r="F56" s="154" t="s">
        <v>343</v>
      </c>
      <c r="H56" s="222" t="s">
        <v>173</v>
      </c>
      <c r="I56" s="186">
        <f>'Alton report, Credit Sales'!$E$5*(I5/I2)</f>
        <v>96.332612400257403</v>
      </c>
      <c r="J56" s="186">
        <f>'Alton report, Credit Sales'!$C$5*50*(I5/I2)</f>
        <v>48.166306200128702</v>
      </c>
      <c r="K56" s="186">
        <f>I56</f>
        <v>96.332612400257403</v>
      </c>
      <c r="L56" s="186">
        <f>'Alton report, Credit Sales'!$C$5*150*(I5/I2)</f>
        <v>144.49891860038613</v>
      </c>
      <c r="M56" s="187" t="s">
        <v>174</v>
      </c>
    </row>
    <row r="57" spans="1:13" ht="30" x14ac:dyDescent="0.25">
      <c r="A57" s="109" t="s">
        <v>175</v>
      </c>
      <c r="B57" s="92">
        <f>'Proposed - Grind2Energy'!B113*(B6/'Proposed - Grind2Energy'!B3)</f>
        <v>-13.910671576791886</v>
      </c>
      <c r="C57" s="92">
        <f>B57*0.9</f>
        <v>-12.519604419112698</v>
      </c>
      <c r="D57" s="92">
        <f>B57</f>
        <v>-13.910671576791886</v>
      </c>
      <c r="E57" s="92">
        <f>B57*1.1</f>
        <v>-15.301738734471076</v>
      </c>
      <c r="F57" s="154" t="s">
        <v>227</v>
      </c>
      <c r="H57" s="170" t="s">
        <v>220</v>
      </c>
      <c r="I57" s="186">
        <f>SUM(I55:I56)</f>
        <v>521.65018412969573</v>
      </c>
      <c r="J57" s="186">
        <f>SUM(J55:J56)</f>
        <v>207.66039559866809</v>
      </c>
      <c r="K57" s="186">
        <f>SUM(K55:K56)</f>
        <v>521.65018412969573</v>
      </c>
      <c r="L57" s="186">
        <f>SUM(L55:L56)</f>
        <v>729.31057972836379</v>
      </c>
      <c r="M57" s="187"/>
    </row>
    <row r="58" spans="1:13" x14ac:dyDescent="0.25">
      <c r="A58" s="109" t="s">
        <v>324</v>
      </c>
      <c r="B58" s="92">
        <f>'Proposed - Grind2Energy'!B54*B6/'Proposed - Grind2Energy'!B3</f>
        <v>-182.31488440899582</v>
      </c>
      <c r="C58" s="92">
        <f>B58*0.9</f>
        <v>-164.08339596809626</v>
      </c>
      <c r="D58" s="92">
        <f>B58</f>
        <v>-182.31488440899582</v>
      </c>
      <c r="E58" s="92">
        <f>B58*1.1</f>
        <v>-200.54637284989542</v>
      </c>
      <c r="F58" s="154" t="s">
        <v>332</v>
      </c>
      <c r="H58" s="217" t="s">
        <v>172</v>
      </c>
      <c r="I58" s="186">
        <f>'Alton report, Credit Sales'!$C$39*(I5/I2)</f>
        <v>54.317307085566576</v>
      </c>
      <c r="J58" s="186">
        <f>K58*0.9</f>
        <v>48.885576377009919</v>
      </c>
      <c r="K58" s="186">
        <f>I58</f>
        <v>54.317307085566576</v>
      </c>
      <c r="L58" s="186">
        <f>I58*1.1</f>
        <v>59.74903779412324</v>
      </c>
      <c r="M58" s="154" t="s">
        <v>343</v>
      </c>
    </row>
    <row r="59" spans="1:13" x14ac:dyDescent="0.25">
      <c r="A59" s="109" t="s">
        <v>331</v>
      </c>
      <c r="B59" s="92">
        <f>(B53+B54)*20%*(-1)</f>
        <v>-104.33003682593917</v>
      </c>
      <c r="C59" s="92">
        <f>(C53+C54)*20%*(-1)</f>
        <v>-41.532079119733623</v>
      </c>
      <c r="D59" s="92">
        <f>(D53+D54)*20%*(-1)</f>
        <v>-104.33003682593917</v>
      </c>
      <c r="E59" s="92">
        <f>(E53+E54)*20%*(-1)</f>
        <v>-145.86211594567277</v>
      </c>
      <c r="F59" s="154" t="s">
        <v>252</v>
      </c>
      <c r="H59" s="221" t="s">
        <v>175</v>
      </c>
      <c r="I59" s="186">
        <f>'Proposed - Offsite Grinding'!B59*(I5/I2)</f>
        <v>-8.0192106846246851</v>
      </c>
      <c r="J59" s="186">
        <f>I59*0.9</f>
        <v>-7.2172896161622164</v>
      </c>
      <c r="K59" s="186">
        <f>I59</f>
        <v>-8.0192106846246851</v>
      </c>
      <c r="L59" s="186">
        <f>I59*1.1</f>
        <v>-8.8211317530871547</v>
      </c>
      <c r="M59" s="187" t="s">
        <v>227</v>
      </c>
    </row>
    <row r="60" spans="1:13" x14ac:dyDescent="0.25">
      <c r="A60" s="105" t="s">
        <v>226</v>
      </c>
      <c r="B60" s="94">
        <f>SUM(B55:B59)</f>
        <v>275.41189840353559</v>
      </c>
      <c r="C60" s="94">
        <f>SUM(C55:C59)</f>
        <v>38.410892468735426</v>
      </c>
      <c r="D60" s="94">
        <f>SUM(D55:D59)</f>
        <v>275.41189840353559</v>
      </c>
      <c r="E60" s="94">
        <f>SUM(E55:E59)</f>
        <v>427.34938999244781</v>
      </c>
      <c r="F60" s="157" t="s">
        <v>225</v>
      </c>
      <c r="H60" s="109" t="s">
        <v>324</v>
      </c>
      <c r="I60" s="92">
        <f>'Proposed - Offsite Grinding'!B60*(I5/I2)</f>
        <v>-182.31488440899579</v>
      </c>
      <c r="J60" s="92">
        <f>I60*0.9</f>
        <v>-164.08339596809623</v>
      </c>
      <c r="K60" s="92">
        <f>I60</f>
        <v>-182.31488440899579</v>
      </c>
      <c r="L60" s="92">
        <f>I60*1.1</f>
        <v>-200.54637284989539</v>
      </c>
      <c r="M60" s="154" t="s">
        <v>332</v>
      </c>
    </row>
    <row r="61" spans="1:13" x14ac:dyDescent="0.25">
      <c r="A61" s="101"/>
      <c r="B61" s="92"/>
      <c r="C61" s="92"/>
      <c r="D61" s="92"/>
      <c r="E61" s="92"/>
      <c r="F61" s="154"/>
      <c r="H61" s="109" t="s">
        <v>331</v>
      </c>
      <c r="I61" s="92">
        <f>(I55+I56)*20%*(-1)</f>
        <v>-104.33003682593915</v>
      </c>
      <c r="J61" s="92">
        <f>(J55+J56)*20%*(-1)</f>
        <v>-41.532079119733623</v>
      </c>
      <c r="K61" s="92">
        <f>(K55+K56)*20%*(-1)</f>
        <v>-104.33003682593915</v>
      </c>
      <c r="L61" s="92">
        <f>(L55+L56)*20%*(-1)</f>
        <v>-145.86211594567277</v>
      </c>
      <c r="M61" s="154" t="s">
        <v>252</v>
      </c>
    </row>
    <row r="62" spans="1:13" x14ac:dyDescent="0.25">
      <c r="A62" s="101" t="s">
        <v>179</v>
      </c>
      <c r="B62" s="92">
        <v>0</v>
      </c>
      <c r="C62" s="92">
        <v>0</v>
      </c>
      <c r="D62" s="92">
        <v>0</v>
      </c>
      <c r="E62" s="92">
        <v>0</v>
      </c>
      <c r="F62" s="154"/>
      <c r="H62" s="188" t="s">
        <v>226</v>
      </c>
      <c r="I62" s="189">
        <f>SUM(I57:I61)</f>
        <v>281.30335929570265</v>
      </c>
      <c r="J62" s="189">
        <f>SUM(J57:J61)</f>
        <v>43.713207271685945</v>
      </c>
      <c r="K62" s="189">
        <f>SUM(K57:K61)</f>
        <v>281.30335929570265</v>
      </c>
      <c r="L62" s="189">
        <f>SUM(L57:L61)</f>
        <v>433.82999697383178</v>
      </c>
      <c r="M62" s="281" t="s">
        <v>225</v>
      </c>
    </row>
    <row r="63" spans="1:13" x14ac:dyDescent="0.25">
      <c r="H63" s="170"/>
      <c r="I63" s="186"/>
      <c r="J63" s="186"/>
      <c r="K63" s="186"/>
      <c r="L63" s="186"/>
      <c r="M63" s="187"/>
    </row>
    <row r="64" spans="1:13" x14ac:dyDescent="0.25">
      <c r="H64" s="170" t="s">
        <v>179</v>
      </c>
      <c r="I64" s="186">
        <v>0</v>
      </c>
      <c r="J64" s="186">
        <v>0</v>
      </c>
      <c r="K64" s="186">
        <v>0</v>
      </c>
      <c r="L64" s="186">
        <v>0</v>
      </c>
      <c r="M64" s="187"/>
    </row>
    <row r="66" spans="1:7" x14ac:dyDescent="0.25">
      <c r="A66" s="381" t="s">
        <v>388</v>
      </c>
      <c r="B66" s="381"/>
      <c r="C66" s="166"/>
      <c r="D66" s="166"/>
      <c r="E66" s="166"/>
    </row>
    <row r="67" spans="1:7" x14ac:dyDescent="0.25">
      <c r="A67" s="286" t="s">
        <v>386</v>
      </c>
      <c r="B67" s="286">
        <v>24000</v>
      </c>
      <c r="C67" s="166"/>
      <c r="D67" s="166"/>
      <c r="E67" s="166"/>
      <c r="F67" s="159"/>
      <c r="G67" s="159"/>
    </row>
    <row r="68" spans="1:7" x14ac:dyDescent="0.25">
      <c r="A68" s="286" t="s">
        <v>387</v>
      </c>
      <c r="B68" s="312">
        <f>'Food waste'!$H$18</f>
        <v>9000</v>
      </c>
      <c r="C68" s="166"/>
      <c r="D68" s="166"/>
      <c r="E68" s="166"/>
      <c r="F68" s="159"/>
      <c r="G68" s="159"/>
    </row>
    <row r="69" spans="1:7" x14ac:dyDescent="0.25">
      <c r="A69" s="286"/>
      <c r="B69" s="312"/>
      <c r="C69" s="166"/>
      <c r="D69" s="166"/>
      <c r="E69" s="166"/>
      <c r="F69" s="159"/>
      <c r="G69" s="159"/>
    </row>
    <row r="70" spans="1:7" x14ac:dyDescent="0.25">
      <c r="A70" s="167" t="s">
        <v>193</v>
      </c>
      <c r="B70" s="169">
        <f>B5</f>
        <v>1056.2280800995588</v>
      </c>
      <c r="C70" s="166"/>
      <c r="D70" s="191"/>
      <c r="E70" s="166"/>
      <c r="F70" s="271"/>
      <c r="G70" s="262"/>
    </row>
    <row r="71" spans="1:7" x14ac:dyDescent="0.25">
      <c r="A71" s="170" t="s">
        <v>194</v>
      </c>
      <c r="B71" s="172">
        <f>B70/2000</f>
        <v>0.52811404004977947</v>
      </c>
      <c r="C71" s="166"/>
      <c r="D71" s="191"/>
      <c r="E71" s="166"/>
      <c r="F71" s="271"/>
      <c r="G71" s="262"/>
    </row>
    <row r="72" spans="1:7" x14ac:dyDescent="0.25">
      <c r="A72" s="173" t="s">
        <v>202</v>
      </c>
      <c r="B72" s="174">
        <v>0.15</v>
      </c>
      <c r="C72" s="166"/>
      <c r="F72" s="271"/>
      <c r="G72" s="262"/>
    </row>
    <row r="73" spans="1:7" x14ac:dyDescent="0.25">
      <c r="A73" s="173" t="s">
        <v>203</v>
      </c>
      <c r="B73" s="174">
        <v>0.85</v>
      </c>
      <c r="C73" s="166"/>
      <c r="F73" s="309"/>
      <c r="G73" s="317"/>
    </row>
    <row r="74" spans="1:7" x14ac:dyDescent="0.25">
      <c r="A74" s="167" t="s">
        <v>204</v>
      </c>
      <c r="B74" s="169">
        <f>B71*B72</f>
        <v>7.9217106007466911E-2</v>
      </c>
      <c r="C74" s="166"/>
      <c r="F74" s="282"/>
      <c r="G74" s="283"/>
    </row>
    <row r="75" spans="1:7" x14ac:dyDescent="0.25">
      <c r="A75" s="167" t="s">
        <v>280</v>
      </c>
      <c r="B75" s="175">
        <f>'Food waste'!$H$16*(3/5)</f>
        <v>717.84138477203282</v>
      </c>
      <c r="C75" s="166"/>
      <c r="F75" s="284"/>
      <c r="G75" s="318"/>
    </row>
    <row r="76" spans="1:7" x14ac:dyDescent="0.25">
      <c r="A76" s="167" t="s">
        <v>281</v>
      </c>
      <c r="B76" s="169">
        <f>B75/250</f>
        <v>2.8713655390881314</v>
      </c>
      <c r="C76" s="166"/>
      <c r="F76" s="284"/>
      <c r="G76" s="318"/>
    </row>
    <row r="77" spans="1:7" x14ac:dyDescent="0.25">
      <c r="A77" s="167"/>
      <c r="B77" s="168"/>
      <c r="C77" s="166"/>
      <c r="F77" s="309"/>
      <c r="G77" s="317"/>
    </row>
    <row r="78" spans="1:7" x14ac:dyDescent="0.25">
      <c r="A78" s="170" t="s">
        <v>197</v>
      </c>
      <c r="B78" s="176">
        <v>0.85</v>
      </c>
      <c r="C78" s="166"/>
      <c r="F78" s="262"/>
      <c r="G78" s="319"/>
    </row>
    <row r="79" spans="1:7" x14ac:dyDescent="0.25">
      <c r="A79" s="167" t="s">
        <v>201</v>
      </c>
      <c r="B79" s="169">
        <f>B76+B71</f>
        <v>3.3994795791379109</v>
      </c>
      <c r="C79" s="166"/>
      <c r="F79" s="320"/>
      <c r="G79" s="317"/>
    </row>
    <row r="80" spans="1:7" x14ac:dyDescent="0.25">
      <c r="A80" s="173" t="s">
        <v>205</v>
      </c>
      <c r="B80" s="179">
        <f>((B71*15%)+(B76*0%))/B79</f>
        <v>2.3302715654952084E-2</v>
      </c>
      <c r="C80" s="166"/>
      <c r="F80" s="309"/>
      <c r="G80" s="308"/>
    </row>
    <row r="81" spans="1:7" x14ac:dyDescent="0.25">
      <c r="A81" s="170" t="s">
        <v>200</v>
      </c>
      <c r="B81" s="172">
        <f>B79*(1-B78)</f>
        <v>0.50992193687068665</v>
      </c>
      <c r="C81" s="166"/>
      <c r="F81" s="320"/>
      <c r="G81" s="321"/>
    </row>
    <row r="82" spans="1:7" x14ac:dyDescent="0.25">
      <c r="A82" s="173" t="s">
        <v>206</v>
      </c>
      <c r="B82" s="182">
        <f>(B79*B80)</f>
        <v>7.9217106007466911E-2</v>
      </c>
      <c r="C82" s="166"/>
      <c r="D82" s="166"/>
      <c r="E82" s="166"/>
      <c r="F82" s="276"/>
    </row>
    <row r="83" spans="1:7" x14ac:dyDescent="0.25">
      <c r="A83" s="183" t="s">
        <v>207</v>
      </c>
      <c r="B83" s="184">
        <f>B82/B81</f>
        <v>0.15535143769968054</v>
      </c>
      <c r="C83" s="166"/>
      <c r="D83" s="166"/>
      <c r="E83" s="166"/>
      <c r="F83" s="276"/>
    </row>
    <row r="84" spans="1:7" x14ac:dyDescent="0.25">
      <c r="A84" s="183"/>
      <c r="B84" s="184"/>
      <c r="C84" s="166"/>
      <c r="D84" s="166"/>
      <c r="E84" s="166"/>
      <c r="F84" s="276"/>
    </row>
    <row r="85" spans="1:7" x14ac:dyDescent="0.25">
      <c r="A85" s="64" t="s">
        <v>390</v>
      </c>
      <c r="B85" s="145">
        <f>B70/7</f>
        <v>150.88972572850841</v>
      </c>
      <c r="C85" s="166"/>
      <c r="D85" s="166"/>
      <c r="E85" s="166"/>
      <c r="F85" s="276"/>
    </row>
    <row r="86" spans="1:7" ht="30" x14ac:dyDescent="0.25">
      <c r="A86" s="314" t="s">
        <v>391</v>
      </c>
      <c r="B86" s="169">
        <v>100</v>
      </c>
      <c r="C86" s="166"/>
      <c r="D86" s="166"/>
      <c r="E86" s="166"/>
      <c r="F86" s="276"/>
    </row>
    <row r="87" spans="1:7" x14ac:dyDescent="0.25">
      <c r="A87" s="167" t="s">
        <v>309</v>
      </c>
      <c r="B87" s="168">
        <f>INT(B85/B86)+1</f>
        <v>2</v>
      </c>
      <c r="C87" s="166"/>
      <c r="D87" s="166"/>
      <c r="E87" s="166"/>
      <c r="F87" s="276"/>
    </row>
    <row r="88" spans="1:7" ht="30" x14ac:dyDescent="0.25">
      <c r="A88" s="314" t="s">
        <v>389</v>
      </c>
      <c r="B88" s="316">
        <f>INT(B87*7/3)+1</f>
        <v>5</v>
      </c>
      <c r="C88" s="166"/>
      <c r="D88" s="166"/>
      <c r="E88" s="166"/>
      <c r="F88" s="276"/>
    </row>
    <row r="89" spans="1:7" x14ac:dyDescent="0.25">
      <c r="C89" s="166"/>
      <c r="D89" s="166"/>
      <c r="E89" s="166"/>
      <c r="F89" s="276"/>
    </row>
    <row r="90" spans="1:7" x14ac:dyDescent="0.25">
      <c r="A90" s="178"/>
      <c r="B90" s="166"/>
      <c r="C90" s="166"/>
      <c r="D90" s="166"/>
      <c r="E90" s="166"/>
      <c r="F90" s="276"/>
    </row>
    <row r="91" spans="1:7" x14ac:dyDescent="0.25">
      <c r="A91" s="379" t="s">
        <v>366</v>
      </c>
      <c r="B91" s="379"/>
      <c r="C91" s="379"/>
      <c r="D91" s="379"/>
      <c r="E91" s="379"/>
      <c r="F91" s="187"/>
    </row>
    <row r="92" spans="1:7" x14ac:dyDescent="0.25">
      <c r="A92" s="170"/>
      <c r="B92" s="185" t="s">
        <v>144</v>
      </c>
      <c r="C92" s="380" t="s">
        <v>145</v>
      </c>
      <c r="D92" s="380"/>
      <c r="E92" s="380"/>
      <c r="F92" s="187"/>
    </row>
    <row r="93" spans="1:7" x14ac:dyDescent="0.25">
      <c r="A93" s="170"/>
      <c r="B93" s="186"/>
      <c r="C93" s="185" t="s">
        <v>146</v>
      </c>
      <c r="D93" s="185" t="s">
        <v>147</v>
      </c>
      <c r="E93" s="185" t="s">
        <v>148</v>
      </c>
      <c r="F93" s="187"/>
    </row>
    <row r="94" spans="1:7" x14ac:dyDescent="0.25">
      <c r="A94" s="170" t="s">
        <v>87</v>
      </c>
      <c r="B94" s="186">
        <v>25000</v>
      </c>
      <c r="C94" s="186">
        <f>B94*0.5</f>
        <v>12500</v>
      </c>
      <c r="D94" s="186">
        <f>B94*0.75</f>
        <v>18750</v>
      </c>
      <c r="E94" s="186">
        <f>B94*1</f>
        <v>25000</v>
      </c>
      <c r="F94" s="187"/>
    </row>
    <row r="95" spans="1:7" x14ac:dyDescent="0.25">
      <c r="A95" s="170" t="s">
        <v>177</v>
      </c>
      <c r="B95" s="186">
        <f>B86*80</f>
        <v>8000</v>
      </c>
      <c r="C95" s="186">
        <v>0</v>
      </c>
      <c r="D95" s="186">
        <v>0</v>
      </c>
      <c r="E95" s="186">
        <v>0</v>
      </c>
      <c r="F95" s="187" t="s">
        <v>292</v>
      </c>
    </row>
    <row r="96" spans="1:7" x14ac:dyDescent="0.25">
      <c r="A96" s="247" t="s">
        <v>294</v>
      </c>
      <c r="B96" s="248">
        <f>D96</f>
        <v>3740.8077836859375</v>
      </c>
      <c r="C96" s="248">
        <f>'Proposed - Tri-Cycle Pulper'!C22*$B$70/$B$67</f>
        <v>2860.617716936305</v>
      </c>
      <c r="D96" s="248">
        <f>'Proposed - Tri-Cycle Pulper'!D22*$B$70/$B$67</f>
        <v>3740.8077836859375</v>
      </c>
      <c r="E96" s="248">
        <f>'Proposed - Tri-Cycle Pulper'!E22*$B$70/$B$67</f>
        <v>4841.045367122978</v>
      </c>
      <c r="F96" s="187"/>
    </row>
    <row r="97" spans="1:6" x14ac:dyDescent="0.25">
      <c r="A97" s="188" t="s">
        <v>103</v>
      </c>
      <c r="B97" s="186">
        <f>SUM(B94:B95)</f>
        <v>33000</v>
      </c>
      <c r="C97" s="186">
        <f t="shared" ref="C97:E97" si="1">SUM(C94:C96)</f>
        <v>15360.617716936305</v>
      </c>
      <c r="D97" s="186">
        <f t="shared" si="1"/>
        <v>22490.807783685937</v>
      </c>
      <c r="E97" s="186">
        <f t="shared" si="1"/>
        <v>29841.045367122977</v>
      </c>
      <c r="F97" s="187"/>
    </row>
    <row r="98" spans="1:6" x14ac:dyDescent="0.25">
      <c r="A98" s="170"/>
      <c r="B98" s="186"/>
      <c r="C98" s="189" t="s">
        <v>151</v>
      </c>
      <c r="D98" s="189"/>
      <c r="E98" s="189"/>
      <c r="F98" s="187"/>
    </row>
    <row r="99" spans="1:6" x14ac:dyDescent="0.25">
      <c r="A99" s="190" t="s">
        <v>103</v>
      </c>
      <c r="B99" s="191">
        <f>D99</f>
        <v>55490.807783685937</v>
      </c>
      <c r="C99" s="186">
        <f>SUM(B97,C97)</f>
        <v>48360.617716936307</v>
      </c>
      <c r="D99" s="186">
        <f>SUM(B97,D97)</f>
        <v>55490.807783685937</v>
      </c>
      <c r="E99" s="186">
        <f>SUM(B97,E97)</f>
        <v>62841.045367122977</v>
      </c>
      <c r="F99" s="187" t="s">
        <v>276</v>
      </c>
    </row>
    <row r="100" spans="1:6" ht="30" x14ac:dyDescent="0.25">
      <c r="A100" s="170" t="s">
        <v>270</v>
      </c>
      <c r="B100" s="192">
        <v>0.03</v>
      </c>
      <c r="C100" s="193">
        <v>0.03</v>
      </c>
      <c r="D100" s="193">
        <v>0.03</v>
      </c>
      <c r="E100" s="193">
        <v>0.03</v>
      </c>
      <c r="F100" s="187" t="s">
        <v>271</v>
      </c>
    </row>
    <row r="101" spans="1:6" x14ac:dyDescent="0.25">
      <c r="A101" s="170" t="s">
        <v>273</v>
      </c>
      <c r="B101" s="194">
        <v>15</v>
      </c>
      <c r="C101" s="195">
        <v>15</v>
      </c>
      <c r="D101" s="195">
        <v>15</v>
      </c>
      <c r="E101" s="195">
        <v>15</v>
      </c>
      <c r="F101" s="187" t="s">
        <v>272</v>
      </c>
    </row>
    <row r="102" spans="1:6" x14ac:dyDescent="0.25">
      <c r="A102" s="170" t="s">
        <v>274</v>
      </c>
      <c r="B102" s="196">
        <f>(((1+B100)^B101)-1)/(B100*(1+B100)^B101)</f>
        <v>11.937935086776077</v>
      </c>
      <c r="C102" s="196">
        <f t="shared" ref="C102:E102" si="2">(((1+C100)^C101)-1)/(C100*(1+C100)^C101)</f>
        <v>11.937935086776077</v>
      </c>
      <c r="D102" s="196">
        <f t="shared" si="2"/>
        <v>11.937935086776077</v>
      </c>
      <c r="E102" s="196">
        <f t="shared" si="2"/>
        <v>11.937935086776077</v>
      </c>
      <c r="F102" s="187"/>
    </row>
    <row r="103" spans="1:6" ht="30" x14ac:dyDescent="0.25">
      <c r="A103" s="170" t="s">
        <v>269</v>
      </c>
      <c r="B103" s="185">
        <f t="shared" ref="B103:E103" si="3">B99/B102</f>
        <v>4648.2752151294881</v>
      </c>
      <c r="C103" s="185">
        <f t="shared" si="3"/>
        <v>4051.0035751916985</v>
      </c>
      <c r="D103" s="185">
        <f t="shared" si="3"/>
        <v>4648.2752151294881</v>
      </c>
      <c r="E103" s="185">
        <f t="shared" si="3"/>
        <v>5263.9794830794008</v>
      </c>
      <c r="F103" s="187" t="s">
        <v>275</v>
      </c>
    </row>
    <row r="104" spans="1:6" x14ac:dyDescent="0.25">
      <c r="A104" s="190"/>
      <c r="B104" s="186"/>
      <c r="C104" s="186"/>
      <c r="D104" s="186"/>
      <c r="E104" s="186"/>
      <c r="F104" s="187"/>
    </row>
    <row r="105" spans="1:6" x14ac:dyDescent="0.25">
      <c r="A105" s="170" t="s">
        <v>211</v>
      </c>
      <c r="B105" s="186"/>
      <c r="C105" s="186"/>
      <c r="D105" s="186"/>
      <c r="E105" s="186"/>
      <c r="F105" s="187"/>
    </row>
    <row r="106" spans="1:6" ht="30" x14ac:dyDescent="0.25">
      <c r="A106" s="183" t="s">
        <v>153</v>
      </c>
      <c r="B106" s="186">
        <f>D106</f>
        <v>175</v>
      </c>
      <c r="C106" s="186">
        <f>130</f>
        <v>130</v>
      </c>
      <c r="D106" s="186">
        <f>175</f>
        <v>175</v>
      </c>
      <c r="E106" s="186">
        <f>185</f>
        <v>185</v>
      </c>
      <c r="F106" s="187" t="s">
        <v>299</v>
      </c>
    </row>
    <row r="107" spans="1:6" x14ac:dyDescent="0.25">
      <c r="A107" s="183" t="s">
        <v>154</v>
      </c>
      <c r="B107" s="186">
        <f>B75*3.35*32/1000</f>
        <v>76.95259644756193</v>
      </c>
      <c r="C107" s="186">
        <f t="shared" ref="C107:C113" si="4">B107*0.9</f>
        <v>69.257336802805739</v>
      </c>
      <c r="D107" s="186">
        <f t="shared" ref="D107:D113" si="5">B107*1</f>
        <v>76.95259644756193</v>
      </c>
      <c r="E107" s="186">
        <f t="shared" ref="E107:E113" si="6">B107*1.1</f>
        <v>84.647856092318136</v>
      </c>
      <c r="F107" s="198" t="s">
        <v>282</v>
      </c>
    </row>
    <row r="108" spans="1:6" x14ac:dyDescent="0.25">
      <c r="A108" s="183" t="s">
        <v>155</v>
      </c>
      <c r="B108" s="186">
        <f>B75*4.18*32/1000</f>
        <v>96.01846362710711</v>
      </c>
      <c r="C108" s="186">
        <f t="shared" si="4"/>
        <v>86.416617264396407</v>
      </c>
      <c r="D108" s="186">
        <f t="shared" si="5"/>
        <v>96.01846362710711</v>
      </c>
      <c r="E108" s="186">
        <f t="shared" si="6"/>
        <v>105.62030998981783</v>
      </c>
      <c r="F108" s="187" t="s">
        <v>283</v>
      </c>
    </row>
    <row r="109" spans="1:6" ht="30" x14ac:dyDescent="0.25">
      <c r="A109" s="183" t="s">
        <v>161</v>
      </c>
      <c r="B109" s="186">
        <f>D109</f>
        <v>844.98246407964712</v>
      </c>
      <c r="C109" s="186">
        <f>50*3*32*$B$70/$B$67*3</f>
        <v>633.73684805973528</v>
      </c>
      <c r="D109" s="186">
        <f>50*4*32*$B$70/$B$67*3</f>
        <v>844.98246407964712</v>
      </c>
      <c r="E109" s="186">
        <f>50*6*32*$B$70/$B$67*3</f>
        <v>1267.4736961194706</v>
      </c>
      <c r="F109" s="187" t="s">
        <v>293</v>
      </c>
    </row>
    <row r="110" spans="1:6" ht="30" x14ac:dyDescent="0.25">
      <c r="A110" s="183" t="s">
        <v>162</v>
      </c>
      <c r="B110" s="186">
        <f>21.53*B81*32</f>
        <v>351.31581762642827</v>
      </c>
      <c r="C110" s="186">
        <f t="shared" si="4"/>
        <v>316.18423586378543</v>
      </c>
      <c r="D110" s="186">
        <f t="shared" si="5"/>
        <v>351.31581762642827</v>
      </c>
      <c r="E110" s="186">
        <f t="shared" si="6"/>
        <v>386.44739938907111</v>
      </c>
      <c r="F110" s="187" t="s">
        <v>163</v>
      </c>
    </row>
    <row r="111" spans="1:6" ht="30" x14ac:dyDescent="0.25">
      <c r="A111" s="183" t="s">
        <v>186</v>
      </c>
      <c r="B111" s="186">
        <f>50*3*32*$B$70/$B$67</f>
        <v>211.24561601991175</v>
      </c>
      <c r="C111" s="186">
        <f>B111*0.9</f>
        <v>190.12105441792059</v>
      </c>
      <c r="D111" s="186">
        <f>B111</f>
        <v>211.24561601991175</v>
      </c>
      <c r="E111" s="186">
        <f>B111*1.1</f>
        <v>232.37017762190294</v>
      </c>
      <c r="F111" s="187" t="s">
        <v>296</v>
      </c>
    </row>
    <row r="112" spans="1:6" ht="30" x14ac:dyDescent="0.25">
      <c r="A112" s="183" t="s">
        <v>7</v>
      </c>
      <c r="B112" s="186">
        <f>'Current - Aerobic (EnviroPure)'!$B$59</f>
        <v>2500</v>
      </c>
      <c r="C112" s="186">
        <f t="shared" si="4"/>
        <v>2250</v>
      </c>
      <c r="D112" s="186">
        <f t="shared" si="5"/>
        <v>2500</v>
      </c>
      <c r="E112" s="186">
        <f t="shared" si="6"/>
        <v>2750</v>
      </c>
      <c r="F112" s="187" t="s">
        <v>191</v>
      </c>
    </row>
    <row r="113" spans="1:6" ht="30" x14ac:dyDescent="0.25">
      <c r="A113" s="200" t="s">
        <v>290</v>
      </c>
      <c r="B113" s="201">
        <f>15*B81*32</f>
        <v>244.76252969792961</v>
      </c>
      <c r="C113" s="201">
        <f t="shared" si="4"/>
        <v>220.28627672813664</v>
      </c>
      <c r="D113" s="201">
        <f t="shared" si="5"/>
        <v>244.76252969792961</v>
      </c>
      <c r="E113" s="201">
        <f t="shared" si="6"/>
        <v>269.2387826677226</v>
      </c>
      <c r="F113" s="277" t="s">
        <v>291</v>
      </c>
    </row>
    <row r="114" spans="1:6" x14ac:dyDescent="0.25">
      <c r="A114" s="205" t="s">
        <v>214</v>
      </c>
      <c r="B114" s="189">
        <f>SUM(B106:B112)</f>
        <v>4255.5149578006567</v>
      </c>
      <c r="C114" s="189">
        <f>SUM(C106:C112)</f>
        <v>3675.7160924086434</v>
      </c>
      <c r="D114" s="189">
        <f>SUM(D106:D112)</f>
        <v>4255.5149578006567</v>
      </c>
      <c r="E114" s="189">
        <f>SUM(E106:E112)</f>
        <v>5011.5594392125804</v>
      </c>
      <c r="F114" s="187"/>
    </row>
    <row r="115" spans="1:6" x14ac:dyDescent="0.25">
      <c r="A115" s="206" t="s">
        <v>212</v>
      </c>
      <c r="B115" s="207">
        <f>B103+B114</f>
        <v>8903.7901729301448</v>
      </c>
      <c r="C115" s="207">
        <f>C103+C114</f>
        <v>7726.7196676003423</v>
      </c>
      <c r="D115" s="207">
        <f>D103+D114</f>
        <v>8903.7901729301448</v>
      </c>
      <c r="E115" s="207">
        <f>E103+E114</f>
        <v>10275.53892229198</v>
      </c>
      <c r="F115" s="278" t="s">
        <v>213</v>
      </c>
    </row>
    <row r="116" spans="1:6" x14ac:dyDescent="0.25">
      <c r="A116" s="209"/>
      <c r="B116" s="212"/>
      <c r="C116" s="212"/>
      <c r="D116" s="212"/>
      <c r="E116" s="212"/>
      <c r="F116" s="279"/>
    </row>
    <row r="117" spans="1:6" x14ac:dyDescent="0.25">
      <c r="A117" s="369" t="s">
        <v>165</v>
      </c>
      <c r="B117" s="369"/>
      <c r="C117" s="369"/>
      <c r="D117" s="369"/>
      <c r="E117" s="369"/>
      <c r="F117" s="162"/>
    </row>
    <row r="118" spans="1:6" x14ac:dyDescent="0.25">
      <c r="A118" s="98" t="s">
        <v>221</v>
      </c>
      <c r="B118" s="92"/>
      <c r="C118" s="92"/>
      <c r="D118" s="92"/>
      <c r="E118" s="92"/>
      <c r="F118" s="154"/>
    </row>
    <row r="119" spans="1:6" x14ac:dyDescent="0.25">
      <c r="A119" s="99" t="s">
        <v>169</v>
      </c>
      <c r="B119" s="92">
        <f>'Biogas to electricity - Input'!$D$35*$B$70/$B$67</f>
        <v>201.35099251207598</v>
      </c>
      <c r="C119" s="92">
        <f>B119*0.9</f>
        <v>181.21589326086837</v>
      </c>
      <c r="D119" s="92">
        <f>B119</f>
        <v>201.35099251207598</v>
      </c>
      <c r="E119" s="92">
        <f>B119*1.1</f>
        <v>221.48609176328358</v>
      </c>
      <c r="F119" s="154" t="s">
        <v>168</v>
      </c>
    </row>
    <row r="120" spans="1:6" x14ac:dyDescent="0.25">
      <c r="A120" s="100" t="s">
        <v>180</v>
      </c>
      <c r="B120" s="92">
        <f>'Biogas to electricity - Input'!$F$35*$B$70/$B$67</f>
        <v>8.2023610225809236</v>
      </c>
      <c r="C120" s="92">
        <f>B120*0.9</f>
        <v>7.3821249203228314</v>
      </c>
      <c r="D120" s="92">
        <f>B120</f>
        <v>8.2023610225809236</v>
      </c>
      <c r="E120" s="92">
        <f>B120*1.1</f>
        <v>9.0225971248390167</v>
      </c>
      <c r="F120" s="154" t="s">
        <v>166</v>
      </c>
    </row>
    <row r="121" spans="1:6" x14ac:dyDescent="0.25">
      <c r="A121" s="99" t="s">
        <v>167</v>
      </c>
      <c r="B121" s="92">
        <f>'Biogas to electricity - Input'!$E$35*$B$70/$B$67</f>
        <v>38.287735703541159</v>
      </c>
      <c r="C121" s="92">
        <f>B121*0.9</f>
        <v>34.458962133187043</v>
      </c>
      <c r="D121" s="92">
        <f>B121</f>
        <v>38.287735703541159</v>
      </c>
      <c r="E121" s="92">
        <f>B121*1.1</f>
        <v>42.116509273895275</v>
      </c>
      <c r="F121" s="154" t="s">
        <v>168</v>
      </c>
    </row>
    <row r="122" spans="1:6" x14ac:dyDescent="0.25">
      <c r="A122" s="99" t="s">
        <v>170</v>
      </c>
      <c r="B122" s="92">
        <f>'Alton report, Credit Sales'!$D$31*$B$70/$B$67</f>
        <v>-122.39888702681188</v>
      </c>
      <c r="C122" s="92">
        <f>B122*0.9</f>
        <v>-110.15899832413069</v>
      </c>
      <c r="D122" s="92">
        <f>B122</f>
        <v>-122.39888702681188</v>
      </c>
      <c r="E122" s="92">
        <f>B122*1.1</f>
        <v>-134.63877572949306</v>
      </c>
      <c r="F122" s="154"/>
    </row>
    <row r="123" spans="1:6" x14ac:dyDescent="0.25">
      <c r="A123" s="97" t="s">
        <v>217</v>
      </c>
      <c r="B123" s="94">
        <f>SUM(B119:B122)</f>
        <v>125.44220221138619</v>
      </c>
      <c r="C123" s="94">
        <f>SUM(C119:C122)</f>
        <v>112.89798199024756</v>
      </c>
      <c r="D123" s="94">
        <f>SUM(D119:D122)</f>
        <v>125.44220221138619</v>
      </c>
      <c r="E123" s="94">
        <f>SUM(E119:E122)</f>
        <v>137.98642243252485</v>
      </c>
      <c r="F123" s="157" t="s">
        <v>218</v>
      </c>
    </row>
    <row r="124" spans="1:6" x14ac:dyDescent="0.25">
      <c r="A124" s="102"/>
      <c r="B124" s="79"/>
      <c r="C124" s="79"/>
      <c r="D124" s="79"/>
      <c r="E124" s="79"/>
      <c r="F124" s="154"/>
    </row>
    <row r="125" spans="1:6" x14ac:dyDescent="0.25">
      <c r="A125" s="101" t="s">
        <v>222</v>
      </c>
      <c r="B125" s="79"/>
      <c r="C125" s="79"/>
      <c r="D125" s="79"/>
      <c r="E125" s="79"/>
      <c r="F125" s="154"/>
    </row>
    <row r="126" spans="1:6" x14ac:dyDescent="0.25">
      <c r="A126" s="101" t="s">
        <v>219</v>
      </c>
      <c r="B126" s="79"/>
      <c r="C126" s="79"/>
      <c r="D126" s="79"/>
      <c r="E126" s="79"/>
      <c r="F126" s="154"/>
    </row>
    <row r="127" spans="1:6" x14ac:dyDescent="0.25">
      <c r="A127" s="100" t="s">
        <v>55</v>
      </c>
      <c r="B127" s="92">
        <f>'Alton report, Credit Sales'!$C$28*$B$70/$B$67</f>
        <v>425.31757172943833</v>
      </c>
      <c r="C127" s="92">
        <f>'Alton report, Credit Sales'!$C$27*0.75*$B$70/$B$67</f>
        <v>159.49408939853939</v>
      </c>
      <c r="D127" s="92">
        <f>B127</f>
        <v>425.31757172943833</v>
      </c>
      <c r="E127" s="92">
        <f>'Alton report, Credit Sales'!$C$27*2.75*$B$70/$B$67</f>
        <v>584.81166112797757</v>
      </c>
      <c r="F127" s="154" t="s">
        <v>361</v>
      </c>
    </row>
    <row r="128" spans="1:6" ht="30" x14ac:dyDescent="0.25">
      <c r="A128" s="108" t="s">
        <v>173</v>
      </c>
      <c r="B128" s="92">
        <f>'Alton report, Credit Sales'!$E$5*$B$70/$B$67</f>
        <v>96.332612400257403</v>
      </c>
      <c r="C128" s="92">
        <f>'Alton report, Credit Sales'!$C$5*50*$B$70/$B$67</f>
        <v>48.166306200128702</v>
      </c>
      <c r="D128" s="92">
        <f>B128</f>
        <v>96.332612400257403</v>
      </c>
      <c r="E128" s="92">
        <f>'Alton report, Credit Sales'!$C$5*150*$B$70/$B$67</f>
        <v>144.49891860038613</v>
      </c>
      <c r="F128" s="154" t="s">
        <v>174</v>
      </c>
    </row>
    <row r="129" spans="1:6" x14ac:dyDescent="0.25">
      <c r="A129" s="101" t="s">
        <v>220</v>
      </c>
      <c r="B129" s="92">
        <f>SUM(B127:B128)</f>
        <v>521.65018412969573</v>
      </c>
      <c r="C129" s="92">
        <f>SUM(C127:C128)</f>
        <v>207.66039559866809</v>
      </c>
      <c r="D129" s="92">
        <f>SUM(D127:D128)</f>
        <v>521.65018412969573</v>
      </c>
      <c r="E129" s="92">
        <f>SUM(E127:E128)</f>
        <v>729.31057972836368</v>
      </c>
      <c r="F129" s="154"/>
    </row>
    <row r="130" spans="1:6" x14ac:dyDescent="0.25">
      <c r="A130" s="99" t="s">
        <v>172</v>
      </c>
      <c r="B130" s="92">
        <f>'Alton report, Credit Sales'!$C$39*$B$70/$B$67</f>
        <v>54.317307085566569</v>
      </c>
      <c r="C130" s="92">
        <f>D130*0.9</f>
        <v>48.885576377009912</v>
      </c>
      <c r="D130" s="92">
        <f>B130</f>
        <v>54.317307085566569</v>
      </c>
      <c r="E130" s="92">
        <f>B130*1.1</f>
        <v>59.749037794123232</v>
      </c>
      <c r="F130" s="154" t="s">
        <v>343</v>
      </c>
    </row>
    <row r="131" spans="1:6" ht="30" x14ac:dyDescent="0.25">
      <c r="A131" s="109" t="s">
        <v>175</v>
      </c>
      <c r="B131" s="92">
        <f>'Proposed - Grind2Energy'!B53*$B$70/$B$67</f>
        <v>-8.0192106846246851</v>
      </c>
      <c r="C131" s="92">
        <f>B131*0.9</f>
        <v>-7.2172896161622164</v>
      </c>
      <c r="D131" s="92">
        <f>B131</f>
        <v>-8.0192106846246851</v>
      </c>
      <c r="E131" s="92">
        <f>B131*1.1</f>
        <v>-8.8211317530871547</v>
      </c>
      <c r="F131" s="154" t="s">
        <v>227</v>
      </c>
    </row>
    <row r="132" spans="1:6" x14ac:dyDescent="0.25">
      <c r="A132" s="109" t="s">
        <v>324</v>
      </c>
      <c r="B132" s="92">
        <f>'Proposed - Grind2Energy'!B54*$B$70/$B$67</f>
        <v>-182.31488440899579</v>
      </c>
      <c r="C132" s="92">
        <f>B132*0.9</f>
        <v>-164.08339596809623</v>
      </c>
      <c r="D132" s="92">
        <f>B132</f>
        <v>-182.31488440899579</v>
      </c>
      <c r="E132" s="92">
        <f>B132*1.1</f>
        <v>-200.54637284989539</v>
      </c>
      <c r="F132" s="154" t="s">
        <v>332</v>
      </c>
    </row>
    <row r="133" spans="1:6" x14ac:dyDescent="0.25">
      <c r="A133" s="109" t="s">
        <v>331</v>
      </c>
      <c r="B133" s="92">
        <f>(B127+B128)*20%*(-1)</f>
        <v>-104.33003682593915</v>
      </c>
      <c r="C133" s="92">
        <f>(C127+C128)*20%*(-1)</f>
        <v>-41.532079119733623</v>
      </c>
      <c r="D133" s="92">
        <f>(D127+D128)*20%*(-1)</f>
        <v>-104.33003682593915</v>
      </c>
      <c r="E133" s="92">
        <f>(E127+E128)*20%*(-1)</f>
        <v>-145.86211594567274</v>
      </c>
      <c r="F133" s="154" t="s">
        <v>252</v>
      </c>
    </row>
    <row r="134" spans="1:6" x14ac:dyDescent="0.25">
      <c r="A134" s="105" t="s">
        <v>226</v>
      </c>
      <c r="B134" s="94">
        <f>SUM(B129:B133)</f>
        <v>281.30335929570265</v>
      </c>
      <c r="C134" s="94">
        <f>SUM(C129:C133)</f>
        <v>43.713207271685945</v>
      </c>
      <c r="D134" s="94">
        <f>SUM(D129:D133)</f>
        <v>281.30335929570265</v>
      </c>
      <c r="E134" s="94">
        <f>SUM(E129:E133)</f>
        <v>433.82999697383161</v>
      </c>
      <c r="F134" s="157" t="s">
        <v>225</v>
      </c>
    </row>
    <row r="135" spans="1:6" x14ac:dyDescent="0.25">
      <c r="A135" s="170"/>
      <c r="B135" s="186"/>
      <c r="C135" s="186"/>
      <c r="D135" s="186"/>
      <c r="E135" s="186"/>
      <c r="F135" s="187"/>
    </row>
    <row r="136" spans="1:6" x14ac:dyDescent="0.25">
      <c r="A136" s="170" t="s">
        <v>179</v>
      </c>
      <c r="B136" s="186">
        <v>0</v>
      </c>
      <c r="C136" s="186">
        <v>0</v>
      </c>
      <c r="D136" s="186">
        <v>0</v>
      </c>
      <c r="E136" s="186">
        <v>0</v>
      </c>
      <c r="F136" s="187"/>
    </row>
  </sheetData>
  <mergeCells count="12">
    <mergeCell ref="A91:E91"/>
    <mergeCell ref="C92:E92"/>
    <mergeCell ref="A117:E117"/>
    <mergeCell ref="H1:I1"/>
    <mergeCell ref="H18:L18"/>
    <mergeCell ref="J19:L19"/>
    <mergeCell ref="H45:L45"/>
    <mergeCell ref="A1:B1"/>
    <mergeCell ref="A18:E18"/>
    <mergeCell ref="C19:E19"/>
    <mergeCell ref="A43:E43"/>
    <mergeCell ref="A66:B66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A75FB-9EF1-4238-A6BE-960B185E5E1C}">
  <dimension ref="A1:P15"/>
  <sheetViews>
    <sheetView workbookViewId="0">
      <selection activeCell="D1" sqref="D1:D1048576"/>
    </sheetView>
  </sheetViews>
  <sheetFormatPr defaultColWidth="24.5703125" defaultRowHeight="15.75" x14ac:dyDescent="0.25"/>
  <cols>
    <col min="1" max="1" width="23.7109375" style="287" bestFit="1" customWidth="1"/>
    <col min="2" max="2" width="22.28515625" style="287" hidden="1" customWidth="1"/>
    <col min="3" max="3" width="19.85546875" style="287" bestFit="1" customWidth="1"/>
    <col min="4" max="4" width="15.7109375" style="287" hidden="1" customWidth="1"/>
    <col min="5" max="5" width="12.42578125" style="287" bestFit="1" customWidth="1"/>
    <col min="6" max="6" width="19.28515625" style="287" bestFit="1" customWidth="1"/>
    <col min="7" max="7" width="14.5703125" style="287" bestFit="1" customWidth="1"/>
    <col min="8" max="8" width="16.85546875" style="287" customWidth="1"/>
    <col min="9" max="9" width="12.42578125" style="287" bestFit="1" customWidth="1"/>
    <col min="10" max="10" width="19.28515625" style="287" bestFit="1" customWidth="1"/>
    <col min="11" max="11" width="11.42578125" style="287" bestFit="1" customWidth="1"/>
    <col min="12" max="12" width="12.5703125" style="287" bestFit="1" customWidth="1"/>
    <col min="13" max="13" width="11.28515625" style="287" bestFit="1" customWidth="1"/>
    <col min="14" max="14" width="17.85546875" style="287" hidden="1" customWidth="1"/>
    <col min="15" max="15" width="17.85546875" style="287" customWidth="1"/>
    <col min="16" max="16" width="20" style="287" bestFit="1" customWidth="1"/>
    <col min="17" max="17" width="18.5703125" style="287" bestFit="1" customWidth="1"/>
    <col min="18" max="16384" width="24.5703125" style="287"/>
  </cols>
  <sheetData>
    <row r="1" spans="1:16" ht="47.25" x14ac:dyDescent="0.25">
      <c r="A1" s="288"/>
      <c r="B1" s="291" t="s">
        <v>373</v>
      </c>
      <c r="C1" s="295" t="s">
        <v>375</v>
      </c>
      <c r="D1" s="291" t="s">
        <v>211</v>
      </c>
      <c r="E1" s="295" t="s">
        <v>156</v>
      </c>
      <c r="F1" s="295" t="s">
        <v>378</v>
      </c>
      <c r="G1" s="295" t="s">
        <v>7</v>
      </c>
      <c r="H1" s="295" t="s">
        <v>379</v>
      </c>
      <c r="I1" s="295" t="s">
        <v>380</v>
      </c>
      <c r="J1" s="295" t="s">
        <v>381</v>
      </c>
      <c r="K1" s="295" t="s">
        <v>382</v>
      </c>
      <c r="L1" s="295" t="s">
        <v>383</v>
      </c>
      <c r="M1" s="295" t="s">
        <v>384</v>
      </c>
      <c r="N1" s="301" t="s">
        <v>385</v>
      </c>
      <c r="O1" s="301" t="s">
        <v>214</v>
      </c>
      <c r="P1" s="291" t="s">
        <v>212</v>
      </c>
    </row>
    <row r="2" spans="1:16" x14ac:dyDescent="0.25">
      <c r="A2" s="289" t="s">
        <v>367</v>
      </c>
      <c r="B2" s="304">
        <f>'Current - Aerobic (EnviroPure)'!D20</f>
        <v>1270000</v>
      </c>
      <c r="C2" s="305">
        <f>'Current - Aerobic (EnviroPure)'!D24</f>
        <v>106383.55718710583</v>
      </c>
      <c r="D2" s="297"/>
      <c r="E2" s="304">
        <f>'Current - Aerobic (EnviroPure)'!D31</f>
        <v>25000</v>
      </c>
      <c r="F2" s="305">
        <f>'Current - Aerobic (EnviroPure)'!D27</f>
        <v>4665.5973022437283</v>
      </c>
      <c r="G2" s="304">
        <f>'Current - Aerobic (EnviroPure)'!D32</f>
        <v>15000</v>
      </c>
      <c r="H2" s="298" t="s">
        <v>376</v>
      </c>
      <c r="I2" s="298" t="s">
        <v>376</v>
      </c>
      <c r="J2" s="300" t="s">
        <v>376</v>
      </c>
      <c r="K2" s="305">
        <f>'Current - Aerobic (EnviroPure)'!D28</f>
        <v>807.17414400000007</v>
      </c>
      <c r="L2" s="306">
        <f>'Current - Aerobic (EnviroPure)'!D30</f>
        <v>1203.8399999999999</v>
      </c>
      <c r="M2" s="306">
        <f>'Current - Aerobic (EnviroPure)'!D29</f>
        <v>7200</v>
      </c>
      <c r="N2" s="300" t="s">
        <v>376</v>
      </c>
      <c r="O2" s="293">
        <f t="shared" ref="O2:O7" si="0">SUM(E2:M2)</f>
        <v>53876.611446243718</v>
      </c>
      <c r="P2" s="293">
        <f t="shared" ref="P2:P7" si="1">O2+C2</f>
        <v>160260.16863334956</v>
      </c>
    </row>
    <row r="3" spans="1:16" x14ac:dyDescent="0.25">
      <c r="A3" s="289" t="s">
        <v>368</v>
      </c>
      <c r="B3" s="304">
        <f>'Current - Aerobic (EnviroPure)'!L20</f>
        <v>270000</v>
      </c>
      <c r="C3" s="305">
        <f>'Current - Aerobic (EnviroPure)'!L24</f>
        <v>22616.976724817774</v>
      </c>
      <c r="D3" s="297"/>
      <c r="E3" s="304">
        <f>'Current - Aerobic (EnviroPure)'!L31</f>
        <v>25000</v>
      </c>
      <c r="F3" s="305">
        <f>'Current - Aerobic (EnviroPure)'!L27</f>
        <v>4665.5973022437283</v>
      </c>
      <c r="G3" s="304">
        <f>'Current - Aerobic (EnviroPure)'!L32</f>
        <v>15000</v>
      </c>
      <c r="H3" s="298" t="s">
        <v>376</v>
      </c>
      <c r="I3" s="298" t="s">
        <v>376</v>
      </c>
      <c r="J3" s="300" t="s">
        <v>376</v>
      </c>
      <c r="K3" s="305">
        <f>'Current - Aerobic (EnviroPure)'!L28</f>
        <v>807.17414400000007</v>
      </c>
      <c r="L3" s="306">
        <f>'Current - Aerobic (EnviroPure)'!L30</f>
        <v>1203.8399999999999</v>
      </c>
      <c r="M3" s="306">
        <f>'Current - Aerobic (EnviroPure)'!L29</f>
        <v>7200</v>
      </c>
      <c r="N3" s="300" t="s">
        <v>376</v>
      </c>
      <c r="O3" s="293">
        <f t="shared" si="0"/>
        <v>53876.611446243718</v>
      </c>
      <c r="P3" s="293">
        <f t="shared" si="1"/>
        <v>76493.588171061492</v>
      </c>
    </row>
    <row r="4" spans="1:16" x14ac:dyDescent="0.25">
      <c r="A4" s="289" t="s">
        <v>369</v>
      </c>
      <c r="B4" s="306">
        <f>'Proposed - Grind2Energy'!D22</f>
        <v>395670.00000000006</v>
      </c>
      <c r="C4" s="306">
        <f>'Proposed - Grind2Energy'!D26</f>
        <v>33143.922891513517</v>
      </c>
      <c r="D4" s="297"/>
      <c r="E4" s="298" t="s">
        <v>376</v>
      </c>
      <c r="F4" s="298" t="s">
        <v>376</v>
      </c>
      <c r="G4" s="304">
        <f>'Proposed - Grind2Energy'!D34</f>
        <v>15000</v>
      </c>
      <c r="H4" s="306">
        <f>'Proposed - Grind2Energy'!D33</f>
        <v>24192</v>
      </c>
      <c r="I4" s="306">
        <f>'Proposed - Grind2Energy'!D32</f>
        <v>8064</v>
      </c>
      <c r="J4" s="298" t="s">
        <v>376</v>
      </c>
      <c r="K4" s="306">
        <f>'Proposed - Grind2Energy'!D29</f>
        <v>600</v>
      </c>
      <c r="L4" s="306">
        <f>'Proposed - Grind2Energy'!D31</f>
        <v>481.53599999999994</v>
      </c>
      <c r="M4" s="306">
        <f>'Proposed - Grind2Energy'!D30</f>
        <v>0</v>
      </c>
      <c r="N4" s="306">
        <f>'Proposed - Grind2Energy'!D35</f>
        <v>9288</v>
      </c>
      <c r="O4" s="293">
        <f t="shared" si="0"/>
        <v>48337.536</v>
      </c>
      <c r="P4" s="293">
        <f t="shared" si="1"/>
        <v>81481.458891513525</v>
      </c>
    </row>
    <row r="5" spans="1:16" x14ac:dyDescent="0.25">
      <c r="A5" s="289" t="s">
        <v>370</v>
      </c>
      <c r="B5" s="306">
        <f>'Proposed - Tri-Cycle Pulper'!D25</f>
        <v>350700</v>
      </c>
      <c r="C5" s="306">
        <f>'Proposed - Tri-Cycle Pulper'!D29</f>
        <v>29376.939768124419</v>
      </c>
      <c r="D5" s="297"/>
      <c r="E5" s="298" t="s">
        <v>376</v>
      </c>
      <c r="F5" s="298" t="s">
        <v>376</v>
      </c>
      <c r="G5" s="304">
        <f>'Proposed - Tri-Cycle Pulper'!D38</f>
        <v>15000</v>
      </c>
      <c r="H5" s="306">
        <f>'Proposed - Tri-Cycle Pulper'!D36</f>
        <v>3472.358400000001</v>
      </c>
      <c r="I5" s="306">
        <f>'Proposed - Tri-Cycle Pulper'!D35</f>
        <v>19200</v>
      </c>
      <c r="J5" s="306">
        <f>'Proposed - Tri-Cycle Pulper'!D37</f>
        <v>4800</v>
      </c>
      <c r="K5" s="306">
        <f>'Proposed - Tri-Cycle Pulper'!D32</f>
        <v>1050</v>
      </c>
      <c r="L5" s="306">
        <f>'Proposed - Tri-Cycle Pulper'!D34</f>
        <v>722.30399999999997</v>
      </c>
      <c r="M5" s="306">
        <f>'Proposed - Tri-Cycle Pulper'!D33</f>
        <v>578.88</v>
      </c>
      <c r="N5" s="298" t="s">
        <v>376</v>
      </c>
      <c r="O5" s="293">
        <f t="shared" si="0"/>
        <v>44823.542399999991</v>
      </c>
      <c r="P5" s="293">
        <f t="shared" si="1"/>
        <v>74200.482168124407</v>
      </c>
    </row>
    <row r="6" spans="1:16" x14ac:dyDescent="0.25">
      <c r="A6" s="289" t="s">
        <v>371</v>
      </c>
      <c r="B6" s="307">
        <f>'Proposed - Pulper (Insinkerator'!D25</f>
        <v>248340</v>
      </c>
      <c r="C6" s="306">
        <f>'Proposed - Pulper (Insinkerator'!D29</f>
        <v>20802.592592004614</v>
      </c>
      <c r="D6" s="297"/>
      <c r="E6" s="298" t="s">
        <v>376</v>
      </c>
      <c r="F6" s="298" t="s">
        <v>376</v>
      </c>
      <c r="G6" s="304">
        <f>'Proposed - Pulper (Insinkerator'!D38</f>
        <v>15000</v>
      </c>
      <c r="H6" s="306">
        <f>'Proposed - Pulper (Insinkerator'!D36</f>
        <v>6820.7040000000015</v>
      </c>
      <c r="I6" s="306">
        <f>'Proposed - Pulper (Insinkerator'!D35</f>
        <v>19200</v>
      </c>
      <c r="J6" s="306">
        <f>'Proposed - Pulper (Insinkerator'!D37</f>
        <v>4800</v>
      </c>
      <c r="K6" s="306">
        <f>'Proposed - Pulper (Insinkerator'!D32</f>
        <v>600</v>
      </c>
      <c r="L6" s="306">
        <f>'Proposed - Pulper (Insinkerator'!D34</f>
        <v>1805.7599999999998</v>
      </c>
      <c r="M6" s="306">
        <f>'Proposed - Pulper (Insinkerator'!D33</f>
        <v>1447.2</v>
      </c>
      <c r="N6" s="302" t="s">
        <v>376</v>
      </c>
      <c r="O6" s="293">
        <f t="shared" si="0"/>
        <v>49673.663999999997</v>
      </c>
      <c r="P6" s="293">
        <f t="shared" si="1"/>
        <v>70476.256592004618</v>
      </c>
    </row>
    <row r="7" spans="1:16" x14ac:dyDescent="0.25">
      <c r="A7" s="289" t="s">
        <v>372</v>
      </c>
      <c r="B7" s="307">
        <f>'Proposed - Pulper (Somat)'!D25</f>
        <v>612640</v>
      </c>
      <c r="C7" s="306">
        <f>'Proposed - Pulper (Somat)'!D29</f>
        <v>51318.757854416152</v>
      </c>
      <c r="D7" s="297"/>
      <c r="E7" s="298" t="s">
        <v>376</v>
      </c>
      <c r="F7" s="298" t="s">
        <v>377</v>
      </c>
      <c r="G7" s="304">
        <f>'Proposed - Pulper (Somat)'!D38</f>
        <v>15000</v>
      </c>
      <c r="H7" s="306">
        <f>'Proposed - Pulper (Somat)'!D36</f>
        <v>2273.5680000000002</v>
      </c>
      <c r="I7" s="306">
        <f>'Proposed - Pulper (Somat)'!D35</f>
        <v>19200</v>
      </c>
      <c r="J7" s="306">
        <f>'Proposed - Pulper (Somat)'!D37</f>
        <v>4800</v>
      </c>
      <c r="K7" s="306">
        <f>'Proposed - Pulper (Somat)'!D32</f>
        <v>600</v>
      </c>
      <c r="L7" s="306">
        <f>'Proposed - Pulper (Somat)'!D34</f>
        <v>481.536</v>
      </c>
      <c r="M7" s="306">
        <f>'Proposed - Pulper (Somat)'!D33</f>
        <v>385.92</v>
      </c>
      <c r="N7" s="302" t="s">
        <v>376</v>
      </c>
      <c r="O7" s="293">
        <f t="shared" si="0"/>
        <v>42741.023999999998</v>
      </c>
      <c r="P7" s="293">
        <f t="shared" si="1"/>
        <v>94059.781854416156</v>
      </c>
    </row>
    <row r="8" spans="1:16" x14ac:dyDescent="0.25">
      <c r="A8" s="290" t="s">
        <v>428</v>
      </c>
      <c r="B8" s="335">
        <v>91960</v>
      </c>
      <c r="C8" s="296">
        <v>7700</v>
      </c>
      <c r="D8" s="329"/>
      <c r="E8" s="299" t="s">
        <v>376</v>
      </c>
      <c r="F8" s="299" t="s">
        <v>376</v>
      </c>
      <c r="G8" s="299" t="s">
        <v>376</v>
      </c>
      <c r="H8" s="296">
        <v>8265</v>
      </c>
      <c r="I8" s="296">
        <v>38400</v>
      </c>
      <c r="J8" s="296">
        <v>28320</v>
      </c>
      <c r="K8" s="299" t="s">
        <v>376</v>
      </c>
      <c r="L8" s="299" t="s">
        <v>376</v>
      </c>
      <c r="M8" s="330" t="s">
        <v>376</v>
      </c>
      <c r="O8" s="294">
        <f>SUM(E8:M8)</f>
        <v>74985</v>
      </c>
      <c r="P8" s="294">
        <f>O8+C8</f>
        <v>82685</v>
      </c>
    </row>
    <row r="11" spans="1:16" ht="63" x14ac:dyDescent="0.25">
      <c r="A11" s="322"/>
      <c r="B11" s="323" t="s">
        <v>395</v>
      </c>
      <c r="C11" s="295" t="s">
        <v>396</v>
      </c>
      <c r="D11" s="291" t="s">
        <v>211</v>
      </c>
      <c r="E11" s="295" t="s">
        <v>156</v>
      </c>
      <c r="F11" s="295" t="s">
        <v>397</v>
      </c>
      <c r="G11" s="295" t="s">
        <v>7</v>
      </c>
      <c r="H11" s="295" t="s">
        <v>398</v>
      </c>
      <c r="I11" s="295" t="s">
        <v>380</v>
      </c>
      <c r="J11" s="295" t="s">
        <v>399</v>
      </c>
      <c r="K11" s="295" t="s">
        <v>382</v>
      </c>
      <c r="L11" s="295" t="s">
        <v>383</v>
      </c>
      <c r="M11" s="324" t="s">
        <v>400</v>
      </c>
      <c r="O11" s="301" t="s">
        <v>214</v>
      </c>
      <c r="P11" s="291" t="s">
        <v>212</v>
      </c>
    </row>
    <row r="12" spans="1:16" x14ac:dyDescent="0.25">
      <c r="A12" s="302" t="s">
        <v>394</v>
      </c>
      <c r="B12" s="325" t="s">
        <v>374</v>
      </c>
      <c r="C12" s="292">
        <v>106400</v>
      </c>
      <c r="D12" s="297"/>
      <c r="E12" s="292">
        <v>25000</v>
      </c>
      <c r="F12" s="292">
        <v>4665</v>
      </c>
      <c r="G12" s="292">
        <v>15000</v>
      </c>
      <c r="H12" s="298" t="s">
        <v>376</v>
      </c>
      <c r="I12" s="298" t="s">
        <v>376</v>
      </c>
      <c r="J12" s="298" t="s">
        <v>376</v>
      </c>
      <c r="K12" s="292">
        <v>800</v>
      </c>
      <c r="L12" s="292">
        <v>1200</v>
      </c>
      <c r="M12" s="326">
        <v>7200</v>
      </c>
      <c r="O12" s="293">
        <v>53865</v>
      </c>
      <c r="P12" s="293">
        <v>160265</v>
      </c>
    </row>
    <row r="13" spans="1:16" x14ac:dyDescent="0.25">
      <c r="A13" s="302" t="s">
        <v>392</v>
      </c>
      <c r="B13" s="326">
        <v>395670</v>
      </c>
      <c r="C13" s="292">
        <v>33150</v>
      </c>
      <c r="D13" s="327"/>
      <c r="E13" s="298" t="s">
        <v>376</v>
      </c>
      <c r="F13" s="298" t="s">
        <v>376</v>
      </c>
      <c r="G13" s="292">
        <v>15000</v>
      </c>
      <c r="H13" s="292">
        <v>24200</v>
      </c>
      <c r="I13" s="292">
        <v>8050</v>
      </c>
      <c r="J13" s="298" t="s">
        <v>376</v>
      </c>
      <c r="K13" s="292">
        <v>600</v>
      </c>
      <c r="L13" s="292">
        <v>480</v>
      </c>
      <c r="M13" s="325" t="s">
        <v>376</v>
      </c>
      <c r="O13" s="293">
        <v>48330</v>
      </c>
      <c r="P13" s="293">
        <v>81480</v>
      </c>
    </row>
    <row r="14" spans="1:16" x14ac:dyDescent="0.25">
      <c r="A14" s="302" t="s">
        <v>393</v>
      </c>
      <c r="B14" s="326">
        <v>330940</v>
      </c>
      <c r="C14" s="292">
        <v>27725</v>
      </c>
      <c r="D14" s="327"/>
      <c r="E14" s="298" t="s">
        <v>376</v>
      </c>
      <c r="F14" s="298" t="s">
        <v>376</v>
      </c>
      <c r="G14" s="292">
        <v>15000</v>
      </c>
      <c r="H14" s="292">
        <v>3475</v>
      </c>
      <c r="I14" s="292">
        <v>19200</v>
      </c>
      <c r="J14" s="292">
        <v>4800</v>
      </c>
      <c r="K14" s="292">
        <v>1050</v>
      </c>
      <c r="L14" s="292">
        <v>725</v>
      </c>
      <c r="M14" s="326">
        <v>580</v>
      </c>
      <c r="O14" s="293">
        <v>44830</v>
      </c>
      <c r="P14" s="293">
        <v>72555</v>
      </c>
    </row>
    <row r="15" spans="1:16" x14ac:dyDescent="0.25">
      <c r="A15" s="303" t="s">
        <v>427</v>
      </c>
      <c r="B15" s="328">
        <v>91960</v>
      </c>
      <c r="C15" s="296">
        <v>7700</v>
      </c>
      <c r="D15" s="329"/>
      <c r="E15" s="299" t="s">
        <v>376</v>
      </c>
      <c r="F15" s="299" t="s">
        <v>376</v>
      </c>
      <c r="G15" s="299" t="s">
        <v>376</v>
      </c>
      <c r="H15" s="296">
        <v>8265</v>
      </c>
      <c r="I15" s="296">
        <v>38400</v>
      </c>
      <c r="J15" s="296">
        <v>28320</v>
      </c>
      <c r="K15" s="299" t="s">
        <v>376</v>
      </c>
      <c r="L15" s="299" t="s">
        <v>376</v>
      </c>
      <c r="M15" s="330" t="s">
        <v>376</v>
      </c>
      <c r="O15" s="294">
        <f>SUM(E15:M15)</f>
        <v>74985</v>
      </c>
      <c r="P15" s="294">
        <f>O15+C15</f>
        <v>82685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419C-63C5-4E2E-9338-DAF40960823F}">
  <dimension ref="A1"/>
  <sheetViews>
    <sheetView workbookViewId="0">
      <selection activeCell="N45" sqref="N4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opLeftCell="A19" zoomScaleNormal="100" workbookViewId="0">
      <selection activeCell="D38" sqref="D38"/>
    </sheetView>
  </sheetViews>
  <sheetFormatPr defaultRowHeight="15" x14ac:dyDescent="0.25"/>
  <cols>
    <col min="1" max="1" width="31.85546875" style="2" bestFit="1" customWidth="1"/>
    <col min="2" max="2" width="12" style="2" bestFit="1" customWidth="1"/>
    <col min="3" max="3" width="15.42578125" style="2" bestFit="1" customWidth="1"/>
    <col min="4" max="4" width="30" style="2" bestFit="1" customWidth="1"/>
    <col min="5" max="5" width="17.5703125" style="2" bestFit="1" customWidth="1"/>
    <col min="6" max="6" width="10.5703125" style="2" bestFit="1" customWidth="1"/>
    <col min="7" max="7" width="23.7109375" style="2" bestFit="1" customWidth="1"/>
    <col min="8" max="8" width="14.85546875" style="2" bestFit="1" customWidth="1"/>
    <col min="9" max="9" width="7.85546875" style="2" bestFit="1" customWidth="1"/>
    <col min="10" max="10" width="14.5703125" style="2" bestFit="1" customWidth="1"/>
    <col min="11" max="11" width="14.5703125" style="2" customWidth="1"/>
    <col min="12" max="12" width="4" style="2" bestFit="1" customWidth="1"/>
    <col min="13" max="13" width="3.28515625" style="2" bestFit="1" customWidth="1"/>
    <col min="14" max="14" width="30.42578125" style="2" bestFit="1" customWidth="1"/>
    <col min="15" max="15" width="9.5703125" style="2" bestFit="1" customWidth="1"/>
    <col min="16" max="16" width="8" style="2" bestFit="1" customWidth="1"/>
    <col min="17" max="17" width="4" style="2" bestFit="1" customWidth="1"/>
    <col min="18" max="18" width="14.85546875" style="2" bestFit="1" customWidth="1"/>
    <col min="19" max="19" width="9.140625" style="2"/>
    <col min="20" max="20" width="11.5703125" style="2" bestFit="1" customWidth="1"/>
    <col min="21" max="16384" width="9.140625" style="2"/>
  </cols>
  <sheetData>
    <row r="1" spans="1:15" x14ac:dyDescent="0.25">
      <c r="A1" s="1" t="s">
        <v>0</v>
      </c>
      <c r="F1" s="338" t="s">
        <v>1</v>
      </c>
      <c r="G1" s="339"/>
      <c r="H1" s="339"/>
      <c r="I1" s="339"/>
      <c r="J1" s="339"/>
      <c r="K1" s="339"/>
    </row>
    <row r="2" spans="1:15" x14ac:dyDescent="0.25">
      <c r="F2" s="3" t="s">
        <v>2</v>
      </c>
      <c r="G2" s="3" t="s">
        <v>3</v>
      </c>
      <c r="H2" s="4" t="s">
        <v>4</v>
      </c>
      <c r="I2" s="3" t="s">
        <v>5</v>
      </c>
      <c r="J2" s="3" t="s">
        <v>6</v>
      </c>
      <c r="K2" s="3" t="s">
        <v>7</v>
      </c>
      <c r="N2" s="2" t="s">
        <v>8</v>
      </c>
      <c r="O2" s="5">
        <v>0.09</v>
      </c>
    </row>
    <row r="3" spans="1:15" x14ac:dyDescent="0.25">
      <c r="A3" s="6" t="s">
        <v>9</v>
      </c>
      <c r="B3" s="7"/>
      <c r="F3" s="4">
        <v>2012</v>
      </c>
      <c r="G3" s="8">
        <v>140595</v>
      </c>
      <c r="H3" s="9">
        <v>2343257</v>
      </c>
      <c r="I3" s="8">
        <f>G3/H3</f>
        <v>5.9999820762297949E-2</v>
      </c>
      <c r="J3" s="8">
        <v>26550</v>
      </c>
      <c r="K3" s="8">
        <v>-97191</v>
      </c>
      <c r="N3" s="2" t="s">
        <v>10</v>
      </c>
      <c r="O3" s="5">
        <f>O2*2000/8.36</f>
        <v>21.5311004784689</v>
      </c>
    </row>
    <row r="4" spans="1:15" x14ac:dyDescent="0.25">
      <c r="A4" s="7" t="s">
        <v>11</v>
      </c>
      <c r="B4" s="7">
        <v>458</v>
      </c>
      <c r="F4" s="4">
        <v>2013</v>
      </c>
      <c r="G4" s="8">
        <v>158893</v>
      </c>
      <c r="H4" s="9">
        <v>2648213</v>
      </c>
      <c r="I4" s="8">
        <f>G4/H4</f>
        <v>6.0000083074888612E-2</v>
      </c>
      <c r="J4" s="8">
        <v>30266</v>
      </c>
      <c r="K4" s="8">
        <v>-80476</v>
      </c>
      <c r="O4" s="5"/>
    </row>
    <row r="5" spans="1:15" x14ac:dyDescent="0.25">
      <c r="A5" s="7" t="s">
        <v>12</v>
      </c>
      <c r="B5" s="7">
        <v>7808</v>
      </c>
      <c r="F5" s="4">
        <v>2014</v>
      </c>
      <c r="G5" s="8">
        <v>151567</v>
      </c>
      <c r="H5" s="9">
        <v>2526117</v>
      </c>
      <c r="I5" s="8">
        <f>G5/H5</f>
        <v>5.9999992082710341E-2</v>
      </c>
      <c r="J5" s="8">
        <v>28954</v>
      </c>
      <c r="K5" s="8">
        <v>-80476</v>
      </c>
    </row>
    <row r="6" spans="1:15" x14ac:dyDescent="0.25">
      <c r="A6" s="7" t="s">
        <v>13</v>
      </c>
      <c r="B6" s="7">
        <f>B4/B5</f>
        <v>5.8657786885245901E-2</v>
      </c>
      <c r="C6" s="10" t="s">
        <v>14</v>
      </c>
      <c r="D6" s="10">
        <v>0.28999999999999998</v>
      </c>
      <c r="E6" s="10" t="s">
        <v>15</v>
      </c>
      <c r="F6" s="11" t="s">
        <v>16</v>
      </c>
      <c r="G6" s="12">
        <f>AVERAGE(G3:G5)</f>
        <v>150351.66666666666</v>
      </c>
      <c r="H6" s="13">
        <f>AVERAGE(H3:H5)</f>
        <v>2505862.3333333335</v>
      </c>
      <c r="I6" s="12">
        <f>AVERAGE(I3:I5)</f>
        <v>5.9999965306632298E-2</v>
      </c>
      <c r="J6" s="12">
        <f>AVERAGE(J3:J5)</f>
        <v>28590</v>
      </c>
      <c r="K6" s="12">
        <v>-91397</v>
      </c>
    </row>
    <row r="7" spans="1:15" x14ac:dyDescent="0.25">
      <c r="A7" s="7" t="s">
        <v>17</v>
      </c>
      <c r="B7" s="7">
        <f>B5/B4</f>
        <v>17.048034934497817</v>
      </c>
      <c r="C7" s="10" t="s">
        <v>18</v>
      </c>
      <c r="D7" s="14">
        <f>1/10.03</f>
        <v>9.9700897308075784E-2</v>
      </c>
      <c r="E7" s="10" t="s">
        <v>15</v>
      </c>
    </row>
    <row r="8" spans="1:15" x14ac:dyDescent="0.25">
      <c r="G8" s="2" t="s">
        <v>19</v>
      </c>
      <c r="H8" s="2" t="s">
        <v>20</v>
      </c>
      <c r="I8" s="2" t="s">
        <v>21</v>
      </c>
    </row>
    <row r="9" spans="1:15" x14ac:dyDescent="0.25">
      <c r="A9" s="6" t="s">
        <v>22</v>
      </c>
      <c r="B9" s="7"/>
      <c r="C9" s="7"/>
      <c r="G9" s="2" t="s">
        <v>23</v>
      </c>
      <c r="H9" s="2" t="s">
        <v>24</v>
      </c>
    </row>
    <row r="10" spans="1:15" x14ac:dyDescent="0.25">
      <c r="A10" s="7" t="s">
        <v>11</v>
      </c>
      <c r="B10" s="7">
        <v>286</v>
      </c>
      <c r="C10" s="7"/>
    </row>
    <row r="11" spans="1:15" x14ac:dyDescent="0.25">
      <c r="A11" s="7" t="s">
        <v>12</v>
      </c>
      <c r="B11" s="7">
        <v>8300</v>
      </c>
      <c r="C11" s="7"/>
    </row>
    <row r="12" spans="1:15" x14ac:dyDescent="0.25">
      <c r="A12" s="7" t="s">
        <v>13</v>
      </c>
      <c r="B12" s="7">
        <f>B10/B11</f>
        <v>3.4457831325301204E-2</v>
      </c>
      <c r="C12" s="7"/>
    </row>
    <row r="13" spans="1:15" x14ac:dyDescent="0.25">
      <c r="A13" s="7" t="s">
        <v>17</v>
      </c>
      <c r="B13" s="7">
        <f>B11/B10</f>
        <v>29.02097902097902</v>
      </c>
      <c r="C13" s="7"/>
    </row>
    <row r="14" spans="1:15" x14ac:dyDescent="0.25">
      <c r="A14" s="7"/>
      <c r="B14" s="7"/>
      <c r="C14" s="7"/>
    </row>
    <row r="15" spans="1:15" x14ac:dyDescent="0.25">
      <c r="A15" s="7" t="s">
        <v>25</v>
      </c>
      <c r="B15" s="15">
        <v>200000</v>
      </c>
      <c r="C15" s="7"/>
    </row>
    <row r="16" spans="1:15" x14ac:dyDescent="0.25">
      <c r="A16" s="7" t="s">
        <v>26</v>
      </c>
      <c r="B16" s="15">
        <f>B15/24</f>
        <v>8333.3333333333339</v>
      </c>
      <c r="C16" s="7"/>
    </row>
    <row r="17" spans="1:20" x14ac:dyDescent="0.25">
      <c r="A17" s="7"/>
      <c r="B17" s="7"/>
      <c r="C17" s="7"/>
    </row>
    <row r="18" spans="1:20" x14ac:dyDescent="0.25">
      <c r="A18" s="7" t="s">
        <v>27</v>
      </c>
      <c r="B18" s="7">
        <f>B4-B10</f>
        <v>172</v>
      </c>
      <c r="C18" s="7">
        <f>B18*24*365</f>
        <v>1506720</v>
      </c>
      <c r="J18" s="16"/>
      <c r="K18" s="16"/>
    </row>
    <row r="19" spans="1:20" x14ac:dyDescent="0.25">
      <c r="A19" s="7" t="s">
        <v>28</v>
      </c>
      <c r="B19" s="17">
        <v>90400</v>
      </c>
      <c r="C19" s="18">
        <f>B19/C18</f>
        <v>5.9997876181374109E-2</v>
      </c>
    </row>
    <row r="20" spans="1:20" x14ac:dyDescent="0.25">
      <c r="R20" s="1"/>
      <c r="S20" s="1"/>
      <c r="T20" s="1"/>
    </row>
    <row r="21" spans="1:20" x14ac:dyDescent="0.25">
      <c r="R21" s="1"/>
      <c r="S21" s="1"/>
      <c r="T21" s="1"/>
    </row>
    <row r="22" spans="1:20" x14ac:dyDescent="0.25">
      <c r="A22" s="7"/>
      <c r="B22" s="7" t="s">
        <v>29</v>
      </c>
      <c r="C22" s="7" t="s">
        <v>30</v>
      </c>
      <c r="K22" s="33"/>
      <c r="R22" s="1"/>
      <c r="S22" s="1"/>
      <c r="T22" s="1"/>
    </row>
    <row r="23" spans="1:20" x14ac:dyDescent="0.25">
      <c r="A23" s="7" t="s">
        <v>31</v>
      </c>
      <c r="B23" s="19">
        <v>24000</v>
      </c>
      <c r="C23" s="20">
        <f>B23*0.15</f>
        <v>3600</v>
      </c>
      <c r="E23" s="340" t="s">
        <v>32</v>
      </c>
      <c r="F23" s="340"/>
      <c r="G23" s="340"/>
      <c r="R23" s="1"/>
      <c r="S23" s="1"/>
      <c r="T23" s="1"/>
    </row>
    <row r="24" spans="1:20" x14ac:dyDescent="0.25">
      <c r="A24" s="7" t="s">
        <v>33</v>
      </c>
      <c r="B24" s="19">
        <f>B23/2000</f>
        <v>12</v>
      </c>
      <c r="C24" s="19">
        <f>C23/2000</f>
        <v>1.8</v>
      </c>
    </row>
    <row r="25" spans="1:20" x14ac:dyDescent="0.25">
      <c r="A25" s="21" t="s">
        <v>34</v>
      </c>
      <c r="B25" s="22">
        <f>B24/7</f>
        <v>1.7142857142857142</v>
      </c>
      <c r="C25" s="22">
        <f>C24/7</f>
        <v>0.25714285714285717</v>
      </c>
      <c r="D25" s="23">
        <f>0.9*C25</f>
        <v>0.23142857142857146</v>
      </c>
      <c r="E25" s="24">
        <f>1.5/2*2000</f>
        <v>1500</v>
      </c>
      <c r="F25" s="23">
        <f>E25*D25</f>
        <v>347.14285714285717</v>
      </c>
      <c r="G25" s="25">
        <f>F25*I6*32*7</f>
        <v>4665.5973022437283</v>
      </c>
    </row>
    <row r="26" spans="1:20" x14ac:dyDescent="0.25">
      <c r="A26" s="26"/>
      <c r="B26" s="26"/>
      <c r="C26" s="26"/>
      <c r="D26" s="24" t="s">
        <v>35</v>
      </c>
      <c r="E26" s="24" t="s">
        <v>36</v>
      </c>
      <c r="F26" s="24" t="s">
        <v>37</v>
      </c>
      <c r="G26" s="24" t="s">
        <v>38</v>
      </c>
    </row>
    <row r="27" spans="1:20" x14ac:dyDescent="0.25">
      <c r="A27" s="27" t="s">
        <v>39</v>
      </c>
      <c r="B27" s="28"/>
      <c r="C27" s="28"/>
      <c r="D27" s="24"/>
      <c r="E27" s="24" t="s">
        <v>40</v>
      </c>
      <c r="F27" s="24"/>
      <c r="G27" s="341" t="s">
        <v>41</v>
      </c>
      <c r="H27" s="342"/>
    </row>
    <row r="28" spans="1:20" ht="30" x14ac:dyDescent="0.25">
      <c r="A28" s="29" t="s">
        <v>42</v>
      </c>
      <c r="B28" s="30">
        <f>C28*0.15</f>
        <v>56.4</v>
      </c>
      <c r="C28" s="30">
        <v>376</v>
      </c>
      <c r="D28" s="31"/>
      <c r="E28" s="238" t="s">
        <v>43</v>
      </c>
      <c r="G28" s="21" t="s">
        <v>44</v>
      </c>
      <c r="H28" s="7" t="s">
        <v>45</v>
      </c>
    </row>
    <row r="29" spans="1:20" ht="30" x14ac:dyDescent="0.25">
      <c r="A29" s="29" t="s">
        <v>46</v>
      </c>
      <c r="B29" s="30">
        <f>B28*B25</f>
        <v>96.685714285714283</v>
      </c>
      <c r="C29" s="30">
        <f>C28*C25</f>
        <v>96.685714285714297</v>
      </c>
      <c r="D29" s="344" t="s">
        <v>346</v>
      </c>
      <c r="E29" s="344"/>
      <c r="F29" s="344"/>
      <c r="G29" s="344"/>
      <c r="I29" s="33"/>
    </row>
    <row r="30" spans="1:20" ht="30" x14ac:dyDescent="0.25">
      <c r="A30" s="29" t="s">
        <v>47</v>
      </c>
      <c r="B30" s="30">
        <f>B29*35.314</f>
        <v>3414.3593142857144</v>
      </c>
      <c r="C30" s="30">
        <f>C29*35.314</f>
        <v>3414.3593142857148</v>
      </c>
      <c r="D30" s="239">
        <f>B30*D7</f>
        <v>340.41468736647204</v>
      </c>
      <c r="E30" s="240" t="s">
        <v>48</v>
      </c>
      <c r="F30" s="7">
        <v>1.1619999999999999</v>
      </c>
      <c r="G30" s="7" t="s">
        <v>49</v>
      </c>
      <c r="H30" s="33"/>
      <c r="J30" s="33"/>
      <c r="N30" s="33"/>
    </row>
    <row r="31" spans="1:20" ht="30" x14ac:dyDescent="0.25">
      <c r="A31" s="29" t="s">
        <v>50</v>
      </c>
      <c r="B31" s="30">
        <f>B30/24</f>
        <v>142.26497142857144</v>
      </c>
      <c r="C31" s="30">
        <f>C30/24</f>
        <v>142.26497142857144</v>
      </c>
      <c r="D31" s="241">
        <f>D30/1000</f>
        <v>0.34041468736647201</v>
      </c>
      <c r="E31" s="32" t="s">
        <v>51</v>
      </c>
      <c r="F31" s="7">
        <f>F30*32*7</f>
        <v>260.28800000000001</v>
      </c>
      <c r="G31" s="7" t="s">
        <v>52</v>
      </c>
      <c r="J31" s="33"/>
      <c r="N31" s="33"/>
    </row>
    <row r="32" spans="1:20" ht="30" x14ac:dyDescent="0.25">
      <c r="A32" s="29" t="s">
        <v>53</v>
      </c>
      <c r="B32" s="30">
        <f>B31*$B$12</f>
        <v>4.9021423889845099</v>
      </c>
      <c r="C32" s="34">
        <f>C31*$B$12</f>
        <v>4.9021423889845099</v>
      </c>
      <c r="D32" s="35"/>
      <c r="H32" s="33"/>
      <c r="J32" s="33"/>
      <c r="N32" s="33"/>
      <c r="O32" s="33"/>
    </row>
    <row r="33" spans="1:18" ht="30" x14ac:dyDescent="0.25">
      <c r="A33" s="37" t="s">
        <v>56</v>
      </c>
      <c r="B33" s="38">
        <f>B32*24*365</f>
        <v>42942.767327504305</v>
      </c>
      <c r="C33" s="38">
        <f>C32*24*365</f>
        <v>42942.767327504305</v>
      </c>
      <c r="D33" s="31"/>
      <c r="E33" s="31"/>
      <c r="F33" s="36"/>
    </row>
    <row r="34" spans="1:18" ht="30" x14ac:dyDescent="0.25">
      <c r="A34" s="37" t="s">
        <v>58</v>
      </c>
      <c r="B34" s="39">
        <f>B33/$H$6</f>
        <v>1.713692199139337E-2</v>
      </c>
      <c r="C34" s="39">
        <f>C33/$H$6</f>
        <v>1.713692199139337E-2</v>
      </c>
      <c r="D34" s="31"/>
      <c r="E34" s="31" t="s">
        <v>59</v>
      </c>
      <c r="F34" s="2" t="s">
        <v>60</v>
      </c>
      <c r="G34" s="2" t="s">
        <v>7</v>
      </c>
      <c r="H34" s="33"/>
    </row>
    <row r="35" spans="1:18" ht="30" x14ac:dyDescent="0.25">
      <c r="A35" s="37" t="s">
        <v>61</v>
      </c>
      <c r="B35" s="40">
        <f>B33*$I$6</f>
        <v>2576.5645498210415</v>
      </c>
      <c r="C35" s="40">
        <f>C33*$I$6</f>
        <v>2576.5645498210415</v>
      </c>
      <c r="D35" s="41">
        <f>D30*32*7*I6</f>
        <v>4575.170752735834</v>
      </c>
      <c r="E35" s="42">
        <f>J6*D35/G6</f>
        <v>869.9879071557848</v>
      </c>
      <c r="F35" s="43">
        <f>D31*365*1.5</f>
        <v>186.37704133314341</v>
      </c>
      <c r="G35" s="16">
        <f>D35*K6/G6</f>
        <v>-2781.1921913367355</v>
      </c>
      <c r="R35" s="44"/>
    </row>
    <row r="36" spans="1:18" x14ac:dyDescent="0.25">
      <c r="R36" s="44"/>
    </row>
    <row r="37" spans="1:18" x14ac:dyDescent="0.25">
      <c r="A37" s="47"/>
      <c r="B37" s="48"/>
      <c r="D37" s="343" t="s">
        <v>333</v>
      </c>
      <c r="E37" s="343"/>
      <c r="F37" s="343"/>
    </row>
    <row r="38" spans="1:18" x14ac:dyDescent="0.25">
      <c r="A38" s="48"/>
      <c r="B38" s="49"/>
      <c r="D38" s="7" t="s">
        <v>334</v>
      </c>
      <c r="E38" s="20">
        <f>B30</f>
        <v>3414.3593142857144</v>
      </c>
      <c r="F38" s="7"/>
    </row>
    <row r="39" spans="1:18" x14ac:dyDescent="0.25">
      <c r="A39" s="48"/>
      <c r="B39" s="49"/>
      <c r="D39" s="7" t="s">
        <v>335</v>
      </c>
      <c r="E39" s="7" t="s">
        <v>336</v>
      </c>
      <c r="F39" s="7"/>
    </row>
    <row r="40" spans="1:18" x14ac:dyDescent="0.25">
      <c r="A40" s="48"/>
      <c r="B40" s="50"/>
      <c r="D40" s="7" t="s">
        <v>337</v>
      </c>
      <c r="E40" s="20">
        <f>E38*900</f>
        <v>3072923.3828571429</v>
      </c>
      <c r="F40" s="234"/>
      <c r="G40" s="33"/>
    </row>
    <row r="41" spans="1:18" x14ac:dyDescent="0.25">
      <c r="A41" s="48"/>
      <c r="B41" s="50"/>
      <c r="D41" s="7" t="s">
        <v>338</v>
      </c>
      <c r="E41" s="20">
        <f>E40*32*7</f>
        <v>688334837.75999999</v>
      </c>
      <c r="F41" s="234"/>
    </row>
    <row r="42" spans="1:18" x14ac:dyDescent="0.25">
      <c r="A42" s="48"/>
      <c r="B42" s="50"/>
      <c r="D42" s="7" t="s">
        <v>339</v>
      </c>
      <c r="E42" s="20">
        <f>E41/1000000</f>
        <v>688.33483776000003</v>
      </c>
      <c r="F42" s="8"/>
    </row>
    <row r="43" spans="1:18" x14ac:dyDescent="0.25">
      <c r="A43" s="48"/>
      <c r="B43" s="50"/>
      <c r="D43" s="7" t="s">
        <v>340</v>
      </c>
      <c r="E43" s="234">
        <v>0.6</v>
      </c>
      <c r="F43" s="8"/>
    </row>
    <row r="44" spans="1:18" x14ac:dyDescent="0.25">
      <c r="A44" s="48"/>
      <c r="B44" s="50"/>
      <c r="D44" s="7" t="s">
        <v>341</v>
      </c>
      <c r="E44" s="20">
        <f>E42*E43</f>
        <v>413.00090265599999</v>
      </c>
      <c r="F44" s="8" t="s">
        <v>344</v>
      </c>
    </row>
    <row r="45" spans="1:18" x14ac:dyDescent="0.25">
      <c r="A45" s="48"/>
      <c r="B45" s="51"/>
      <c r="C45" s="33"/>
      <c r="D45" s="32" t="s">
        <v>54</v>
      </c>
      <c r="E45" s="235">
        <v>11.7</v>
      </c>
      <c r="F45" s="7" t="s">
        <v>55</v>
      </c>
      <c r="G45" s="45"/>
    </row>
    <row r="46" spans="1:18" x14ac:dyDescent="0.25">
      <c r="A46" s="48"/>
      <c r="B46" s="51"/>
      <c r="C46" s="46"/>
      <c r="D46" s="7" t="s">
        <v>57</v>
      </c>
      <c r="E46" s="20">
        <f>E44*E45</f>
        <v>4832.1105610751993</v>
      </c>
      <c r="F46" s="236"/>
    </row>
  </sheetData>
  <mergeCells count="5">
    <mergeCell ref="F1:K1"/>
    <mergeCell ref="E23:G23"/>
    <mergeCell ref="G27:H27"/>
    <mergeCell ref="D37:F37"/>
    <mergeCell ref="D29:G29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39"/>
  <sheetViews>
    <sheetView topLeftCell="K14" workbookViewId="0">
      <selection activeCell="C32" sqref="C32:C34"/>
    </sheetView>
  </sheetViews>
  <sheetFormatPr defaultRowHeight="15" x14ac:dyDescent="0.25"/>
  <cols>
    <col min="1" max="1" width="51.7109375" style="156" customWidth="1"/>
    <col min="2" max="2" width="10.5703125" bestFit="1" customWidth="1"/>
    <col min="4" max="4" width="22.85546875" bestFit="1" customWidth="1"/>
    <col min="5" max="5" width="17.85546875" style="156" customWidth="1"/>
    <col min="6" max="6" width="10" bestFit="1" customWidth="1"/>
    <col min="7" max="7" width="15.28515625" bestFit="1" customWidth="1"/>
    <col min="8" max="8" width="22.5703125" customWidth="1"/>
    <col min="9" max="9" width="24.140625" bestFit="1" customWidth="1"/>
    <col min="10" max="10" width="18.7109375" customWidth="1"/>
    <col min="11" max="11" width="23.7109375" customWidth="1"/>
    <col min="12" max="12" width="24.140625" bestFit="1" customWidth="1"/>
    <col min="13" max="17" width="18.42578125" customWidth="1"/>
    <col min="18" max="18" width="24.28515625" customWidth="1"/>
    <col min="19" max="19" width="15.42578125" customWidth="1"/>
    <col min="20" max="20" width="18.42578125" customWidth="1"/>
  </cols>
  <sheetData>
    <row r="2" spans="1:13" x14ac:dyDescent="0.25">
      <c r="A2" s="230" t="s">
        <v>62</v>
      </c>
      <c r="B2" s="64"/>
      <c r="E2" s="230" t="s">
        <v>63</v>
      </c>
      <c r="F2" s="57"/>
      <c r="G2" s="64"/>
    </row>
    <row r="3" spans="1:13" x14ac:dyDescent="0.25">
      <c r="A3" s="133" t="s">
        <v>64</v>
      </c>
      <c r="B3" s="64">
        <v>24000</v>
      </c>
      <c r="E3" s="230" t="s">
        <v>65</v>
      </c>
      <c r="F3" s="57" t="s">
        <v>66</v>
      </c>
      <c r="G3" s="64"/>
      <c r="I3" s="64" t="s">
        <v>244</v>
      </c>
      <c r="J3" s="64"/>
      <c r="L3" s="64" t="s">
        <v>250</v>
      </c>
      <c r="M3" s="64"/>
    </row>
    <row r="4" spans="1:13" ht="30" x14ac:dyDescent="0.25">
      <c r="A4" s="133" t="s">
        <v>67</v>
      </c>
      <c r="B4" s="64"/>
      <c r="E4" s="230" t="s">
        <v>68</v>
      </c>
      <c r="F4" s="57" t="s">
        <v>69</v>
      </c>
      <c r="G4" s="64"/>
      <c r="I4" s="64" t="s">
        <v>245</v>
      </c>
      <c r="J4" s="64">
        <f>'Proposed - Pulper (Somat)'!B3</f>
        <v>12</v>
      </c>
      <c r="L4" s="64" t="s">
        <v>245</v>
      </c>
      <c r="M4" s="64">
        <f>'Proposed - Tri-Cycle Pulper'!B3</f>
        <v>12</v>
      </c>
    </row>
    <row r="5" spans="1:13" x14ac:dyDescent="0.25">
      <c r="A5" s="133" t="s">
        <v>70</v>
      </c>
      <c r="B5" s="64">
        <f>B3*50%</f>
        <v>12000</v>
      </c>
      <c r="E5" s="230" t="s">
        <v>71</v>
      </c>
      <c r="F5" s="57" t="s">
        <v>72</v>
      </c>
      <c r="G5" s="64"/>
      <c r="I5" s="64" t="s">
        <v>246</v>
      </c>
      <c r="J5" s="64">
        <f>'Proposed - Pulper (Somat)'!B13</f>
        <v>3.3</v>
      </c>
      <c r="L5" s="64" t="s">
        <v>246</v>
      </c>
      <c r="M5" s="64">
        <f>'Proposed - Tri-Cycle Pulper'!B13</f>
        <v>5.0400000000000009</v>
      </c>
    </row>
    <row r="6" spans="1:13" ht="30" x14ac:dyDescent="0.25">
      <c r="A6" s="133" t="s">
        <v>73</v>
      </c>
      <c r="B6" s="64">
        <v>5</v>
      </c>
      <c r="E6" s="230" t="s">
        <v>74</v>
      </c>
      <c r="F6" s="57" t="s">
        <v>75</v>
      </c>
      <c r="G6" s="64"/>
      <c r="I6" s="64" t="s">
        <v>247</v>
      </c>
      <c r="J6" s="256">
        <f>J5/J4</f>
        <v>0.27499999999999997</v>
      </c>
      <c r="L6" s="64" t="s">
        <v>247</v>
      </c>
      <c r="M6" s="256">
        <f>M5/M4</f>
        <v>0.4200000000000001</v>
      </c>
    </row>
    <row r="7" spans="1:13" x14ac:dyDescent="0.25">
      <c r="A7" s="133" t="s">
        <v>76</v>
      </c>
      <c r="B7" s="64">
        <f>B5/B6</f>
        <v>2400</v>
      </c>
      <c r="E7" s="230" t="s">
        <v>75</v>
      </c>
      <c r="F7" s="57" t="s">
        <v>77</v>
      </c>
      <c r="G7" s="64"/>
    </row>
    <row r="8" spans="1:13" ht="30" customHeight="1" x14ac:dyDescent="0.25">
      <c r="A8" s="230" t="s">
        <v>188</v>
      </c>
      <c r="B8" s="60">
        <v>2500</v>
      </c>
      <c r="E8" s="346" t="s">
        <v>315</v>
      </c>
      <c r="F8" s="347"/>
      <c r="G8" s="348"/>
    </row>
    <row r="9" spans="1:13" x14ac:dyDescent="0.25">
      <c r="E9" s="53"/>
      <c r="F9" s="52"/>
    </row>
    <row r="10" spans="1:13" ht="45" x14ac:dyDescent="0.25">
      <c r="A10" s="133"/>
      <c r="B10" s="64"/>
      <c r="C10" s="64"/>
      <c r="D10" s="57" t="s">
        <v>78</v>
      </c>
      <c r="E10" s="230" t="s">
        <v>79</v>
      </c>
      <c r="F10" s="64"/>
      <c r="G10" s="230" t="s">
        <v>80</v>
      </c>
      <c r="H10" s="230" t="s">
        <v>352</v>
      </c>
      <c r="J10" s="345"/>
      <c r="K10" s="345"/>
    </row>
    <row r="11" spans="1:13" x14ac:dyDescent="0.25">
      <c r="A11" s="230" t="s">
        <v>81</v>
      </c>
      <c r="B11" s="64"/>
      <c r="C11" s="64"/>
      <c r="D11" s="64">
        <f>B3*3</f>
        <v>72000</v>
      </c>
      <c r="E11" s="133">
        <f>D11/200</f>
        <v>360</v>
      </c>
      <c r="F11" s="64" t="s">
        <v>82</v>
      </c>
      <c r="G11" s="64">
        <v>5</v>
      </c>
      <c r="H11" s="64"/>
      <c r="J11" s="271"/>
      <c r="K11" s="262"/>
    </row>
    <row r="12" spans="1:13" x14ac:dyDescent="0.25">
      <c r="A12" s="133" t="s">
        <v>83</v>
      </c>
      <c r="B12" s="64">
        <f>193+196</f>
        <v>389</v>
      </c>
      <c r="C12" s="257">
        <f t="shared" ref="C12:C17" si="0">B12/SUM($B$12:$B$17)</f>
        <v>4.4009503337481617E-2</v>
      </c>
      <c r="D12" s="255">
        <f t="shared" ref="D12:D17" si="1">$D$11*C12</f>
        <v>3168.6842402986763</v>
      </c>
      <c r="E12" s="268">
        <f t="shared" ref="E12:E17" si="2">D12/200</f>
        <v>15.843421201493381</v>
      </c>
      <c r="F12" s="255">
        <f t="shared" ref="F12:F17" si="3">E12*5</f>
        <v>79.21710600746691</v>
      </c>
      <c r="G12" s="64"/>
      <c r="H12" s="255">
        <f t="shared" ref="H12:H17" si="4">F12*$G$11</f>
        <v>396.08553003733454</v>
      </c>
      <c r="I12" s="55"/>
      <c r="J12" s="262"/>
      <c r="K12" s="262"/>
    </row>
    <row r="13" spans="1:13" x14ac:dyDescent="0.25">
      <c r="A13" s="133" t="s">
        <v>84</v>
      </c>
      <c r="B13" s="64">
        <f>651+246+242</f>
        <v>1139</v>
      </c>
      <c r="C13" s="257">
        <f t="shared" si="0"/>
        <v>0.12886073085190633</v>
      </c>
      <c r="D13" s="255">
        <f t="shared" si="1"/>
        <v>9277.972621337256</v>
      </c>
      <c r="E13" s="268">
        <f t="shared" si="2"/>
        <v>46.389863106686278</v>
      </c>
      <c r="F13" s="255">
        <f t="shared" si="3"/>
        <v>231.94931553343139</v>
      </c>
      <c r="G13" s="64"/>
      <c r="H13" s="255">
        <f t="shared" si="4"/>
        <v>1159.746577667157</v>
      </c>
      <c r="I13" s="55"/>
      <c r="J13" s="262"/>
      <c r="K13" s="262"/>
    </row>
    <row r="14" spans="1:13" x14ac:dyDescent="0.25">
      <c r="A14" s="133" t="s">
        <v>85</v>
      </c>
      <c r="B14" s="64">
        <f>622+619</f>
        <v>1241</v>
      </c>
      <c r="C14" s="257">
        <f t="shared" si="0"/>
        <v>0.1404004977938681</v>
      </c>
      <c r="D14" s="255">
        <f t="shared" si="1"/>
        <v>10108.835841158503</v>
      </c>
      <c r="E14" s="268">
        <f t="shared" si="2"/>
        <v>50.544179205792517</v>
      </c>
      <c r="F14" s="255">
        <f t="shared" si="3"/>
        <v>252.72089602896258</v>
      </c>
      <c r="G14" s="64"/>
      <c r="H14" s="255">
        <f t="shared" si="4"/>
        <v>1263.6044801448129</v>
      </c>
      <c r="I14" s="55"/>
      <c r="J14" s="271"/>
      <c r="K14" s="272"/>
    </row>
    <row r="15" spans="1:13" x14ac:dyDescent="0.25">
      <c r="A15" s="133" t="s">
        <v>86</v>
      </c>
      <c r="B15" s="64">
        <f>132+132+440+461+491+455+472+444+454+196+200</f>
        <v>3877</v>
      </c>
      <c r="C15" s="257">
        <f t="shared" si="0"/>
        <v>0.43862427876456611</v>
      </c>
      <c r="D15" s="255">
        <f t="shared" si="1"/>
        <v>31580.948071048759</v>
      </c>
      <c r="E15" s="268">
        <f t="shared" si="2"/>
        <v>157.9047403552438</v>
      </c>
      <c r="F15" s="255">
        <f t="shared" si="3"/>
        <v>789.52370177621901</v>
      </c>
      <c r="G15" s="64"/>
      <c r="H15" s="255">
        <f t="shared" si="4"/>
        <v>3947.6185088810953</v>
      </c>
      <c r="I15" s="55"/>
      <c r="J15" s="271"/>
      <c r="K15" s="273"/>
    </row>
    <row r="16" spans="1:13" x14ac:dyDescent="0.25">
      <c r="A16" s="133" t="s">
        <v>87</v>
      </c>
      <c r="B16" s="64">
        <f>627+548</f>
        <v>1175</v>
      </c>
      <c r="C16" s="257">
        <f t="shared" si="0"/>
        <v>0.1329335897725987</v>
      </c>
      <c r="D16" s="255">
        <f t="shared" si="1"/>
        <v>9571.2184636271068</v>
      </c>
      <c r="E16" s="268">
        <f t="shared" si="2"/>
        <v>47.856092318135531</v>
      </c>
      <c r="F16" s="255">
        <f t="shared" si="3"/>
        <v>239.28046159067765</v>
      </c>
      <c r="G16" s="64"/>
      <c r="H16" s="255">
        <f t="shared" si="4"/>
        <v>1196.4023079533881</v>
      </c>
      <c r="I16" s="55"/>
      <c r="J16" s="274"/>
      <c r="K16" s="58"/>
    </row>
    <row r="17" spans="1:20" x14ac:dyDescent="0.25">
      <c r="A17" s="133" t="s">
        <v>88</v>
      </c>
      <c r="B17" s="64">
        <f>254+254+256+254</f>
        <v>1018</v>
      </c>
      <c r="C17" s="257">
        <f t="shared" si="0"/>
        <v>0.11517139947957913</v>
      </c>
      <c r="D17" s="255">
        <f t="shared" si="1"/>
        <v>8292.3407625296968</v>
      </c>
      <c r="E17" s="268">
        <f t="shared" si="2"/>
        <v>41.461703812648487</v>
      </c>
      <c r="F17" s="255">
        <f t="shared" si="3"/>
        <v>207.30851906324244</v>
      </c>
      <c r="G17" s="64"/>
      <c r="H17" s="255">
        <f t="shared" si="4"/>
        <v>1036.5425953162121</v>
      </c>
      <c r="I17" s="55"/>
      <c r="J17" s="58"/>
      <c r="K17" s="58"/>
    </row>
    <row r="18" spans="1:20" x14ac:dyDescent="0.25">
      <c r="A18" s="254" t="s">
        <v>355</v>
      </c>
      <c r="B18" s="72">
        <f>SUM(B12:B17)</f>
        <v>8839</v>
      </c>
      <c r="C18" s="257"/>
      <c r="D18" s="255"/>
      <c r="E18" s="268"/>
      <c r="F18" s="255"/>
      <c r="G18" s="72" t="s">
        <v>187</v>
      </c>
      <c r="H18" s="258">
        <f>SUM(H12:H17)</f>
        <v>9000</v>
      </c>
      <c r="I18" s="55"/>
      <c r="J18" s="274"/>
      <c r="K18" s="275"/>
    </row>
    <row r="20" spans="1:20" ht="45" x14ac:dyDescent="0.25">
      <c r="A20" s="230" t="s">
        <v>89</v>
      </c>
      <c r="B20" s="57" t="s">
        <v>90</v>
      </c>
      <c r="C20" s="57" t="s">
        <v>91</v>
      </c>
      <c r="D20" s="57" t="s">
        <v>92</v>
      </c>
      <c r="E20" s="230" t="s">
        <v>93</v>
      </c>
      <c r="F20" s="230" t="s">
        <v>94</v>
      </c>
      <c r="G20" s="57" t="s">
        <v>95</v>
      </c>
      <c r="H20" s="230" t="s">
        <v>96</v>
      </c>
      <c r="I20" s="230" t="s">
        <v>97</v>
      </c>
      <c r="J20" s="230" t="s">
        <v>98</v>
      </c>
      <c r="K20" s="230" t="s">
        <v>99</v>
      </c>
      <c r="L20" s="230" t="s">
        <v>243</v>
      </c>
      <c r="M20" s="230" t="s">
        <v>98</v>
      </c>
      <c r="N20" s="230" t="s">
        <v>248</v>
      </c>
      <c r="O20" s="230" t="s">
        <v>249</v>
      </c>
      <c r="P20" s="230" t="s">
        <v>98</v>
      </c>
      <c r="Q20" s="230" t="s">
        <v>248</v>
      </c>
      <c r="R20" s="230" t="s">
        <v>304</v>
      </c>
      <c r="S20" s="230" t="s">
        <v>98</v>
      </c>
      <c r="T20" s="230" t="s">
        <v>248</v>
      </c>
    </row>
    <row r="21" spans="1:20" x14ac:dyDescent="0.25">
      <c r="A21" s="133" t="s">
        <v>83</v>
      </c>
      <c r="B21" s="160">
        <f t="shared" ref="B21:B26" si="5">C12*$B$3</f>
        <v>1056.2280800995588</v>
      </c>
      <c r="C21" s="64">
        <f t="shared" ref="C21:C26" si="6">B21/2000</f>
        <v>0.52811404004977947</v>
      </c>
      <c r="D21" s="64">
        <f t="shared" ref="D21:D26" si="7">C21/7</f>
        <v>7.5444862864254211E-2</v>
      </c>
      <c r="E21" s="133">
        <f t="shared" ref="E21:E26" si="8">F21*D21</f>
        <v>0.52811404004977947</v>
      </c>
      <c r="F21" s="64">
        <v>7</v>
      </c>
      <c r="G21" s="64" t="s">
        <v>100</v>
      </c>
      <c r="H21" s="64">
        <f t="shared" ref="H21:H26" si="9">C21*250</f>
        <v>132.02851001244485</v>
      </c>
      <c r="I21" s="64">
        <f t="shared" ref="I21:I26" si="10">H21*60%</f>
        <v>79.21710600746691</v>
      </c>
      <c r="J21" s="64">
        <v>32</v>
      </c>
      <c r="K21" s="64">
        <f t="shared" ref="K21:K26" si="11">INT(I21/J21)+1</f>
        <v>3</v>
      </c>
      <c r="L21" s="64">
        <f t="shared" ref="L21:L26" si="12">H21*$J$6</f>
        <v>36.307840253422327</v>
      </c>
      <c r="M21" s="64">
        <v>32</v>
      </c>
      <c r="N21" s="64">
        <f t="shared" ref="N21:N26" si="13">INT(L21/M21)+1</f>
        <v>2</v>
      </c>
      <c r="O21" s="64">
        <f t="shared" ref="O21:O26" si="14">H21*$M$6</f>
        <v>55.451974205226854</v>
      </c>
      <c r="P21" s="64">
        <v>32</v>
      </c>
      <c r="Q21" s="64">
        <f t="shared" ref="Q21:Q26" si="15">INT(O21/P21)+1</f>
        <v>2</v>
      </c>
      <c r="R21" s="64">
        <f t="shared" ref="R21:R26" si="16">H21</f>
        <v>132.02851001244485</v>
      </c>
      <c r="S21" s="64">
        <v>32</v>
      </c>
      <c r="T21" s="64">
        <f t="shared" ref="T21:T26" si="17">INT(R21/S21)+1</f>
        <v>5</v>
      </c>
    </row>
    <row r="22" spans="1:20" x14ac:dyDescent="0.25">
      <c r="A22" s="133" t="s">
        <v>84</v>
      </c>
      <c r="B22" s="160">
        <f t="shared" si="5"/>
        <v>3092.6575404457517</v>
      </c>
      <c r="C22" s="64">
        <f t="shared" si="6"/>
        <v>1.5463287702228758</v>
      </c>
      <c r="D22" s="64">
        <f t="shared" si="7"/>
        <v>0.22090411003183941</v>
      </c>
      <c r="E22" s="133">
        <f t="shared" si="8"/>
        <v>1.5463287702228758</v>
      </c>
      <c r="F22" s="64">
        <v>7</v>
      </c>
      <c r="G22" s="64" t="s">
        <v>101</v>
      </c>
      <c r="H22" s="64">
        <f t="shared" si="9"/>
        <v>386.58219255571896</v>
      </c>
      <c r="I22" s="64">
        <f t="shared" si="10"/>
        <v>231.94931553343136</v>
      </c>
      <c r="J22" s="64">
        <v>32</v>
      </c>
      <c r="K22" s="64">
        <f t="shared" si="11"/>
        <v>8</v>
      </c>
      <c r="L22" s="64">
        <f t="shared" si="12"/>
        <v>106.3101029528227</v>
      </c>
      <c r="M22" s="64">
        <v>32</v>
      </c>
      <c r="N22" s="64">
        <f t="shared" si="13"/>
        <v>4</v>
      </c>
      <c r="O22" s="64">
        <f t="shared" si="14"/>
        <v>162.364520873402</v>
      </c>
      <c r="P22" s="64">
        <v>32</v>
      </c>
      <c r="Q22" s="64">
        <f t="shared" si="15"/>
        <v>6</v>
      </c>
      <c r="R22" s="64">
        <f t="shared" si="16"/>
        <v>386.58219255571896</v>
      </c>
      <c r="S22" s="64">
        <v>32</v>
      </c>
      <c r="T22" s="64">
        <f t="shared" si="17"/>
        <v>13</v>
      </c>
    </row>
    <row r="23" spans="1:20" x14ac:dyDescent="0.25">
      <c r="A23" s="133" t="s">
        <v>85</v>
      </c>
      <c r="B23" s="160">
        <f t="shared" si="5"/>
        <v>3369.6119470528342</v>
      </c>
      <c r="C23" s="64">
        <f t="shared" si="6"/>
        <v>1.6848059735264171</v>
      </c>
      <c r="D23" s="64">
        <f t="shared" si="7"/>
        <v>0.24068656764663102</v>
      </c>
      <c r="E23" s="133">
        <f t="shared" si="8"/>
        <v>1.6848059735264171</v>
      </c>
      <c r="F23" s="64">
        <v>7</v>
      </c>
      <c r="G23" s="64" t="s">
        <v>101</v>
      </c>
      <c r="H23" s="64">
        <f t="shared" si="9"/>
        <v>421.20149338160428</v>
      </c>
      <c r="I23" s="64">
        <f t="shared" si="10"/>
        <v>252.72089602896256</v>
      </c>
      <c r="J23" s="64">
        <v>32</v>
      </c>
      <c r="K23" s="64">
        <f t="shared" si="11"/>
        <v>8</v>
      </c>
      <c r="L23" s="64">
        <f t="shared" si="12"/>
        <v>115.83041067994117</v>
      </c>
      <c r="M23" s="64">
        <v>32</v>
      </c>
      <c r="N23" s="64">
        <f t="shared" si="13"/>
        <v>4</v>
      </c>
      <c r="O23" s="64">
        <f t="shared" si="14"/>
        <v>176.90462722027382</v>
      </c>
      <c r="P23" s="64">
        <v>32</v>
      </c>
      <c r="Q23" s="64">
        <f t="shared" si="15"/>
        <v>6</v>
      </c>
      <c r="R23" s="64">
        <f t="shared" si="16"/>
        <v>421.20149338160428</v>
      </c>
      <c r="S23" s="64">
        <v>32</v>
      </c>
      <c r="T23" s="64">
        <f t="shared" si="17"/>
        <v>14</v>
      </c>
    </row>
    <row r="24" spans="1:20" x14ac:dyDescent="0.25">
      <c r="A24" s="133" t="s">
        <v>86</v>
      </c>
      <c r="B24" s="160">
        <f t="shared" si="5"/>
        <v>10526.982690349587</v>
      </c>
      <c r="C24" s="64">
        <f t="shared" si="6"/>
        <v>5.2634913451747938</v>
      </c>
      <c r="D24" s="64">
        <f t="shared" si="7"/>
        <v>0.75192733502497056</v>
      </c>
      <c r="E24" s="133">
        <f t="shared" si="8"/>
        <v>5.2634913451747938</v>
      </c>
      <c r="F24" s="64">
        <v>7</v>
      </c>
      <c r="G24" s="64" t="s">
        <v>102</v>
      </c>
      <c r="H24" s="64">
        <f t="shared" si="9"/>
        <v>1315.8728362936984</v>
      </c>
      <c r="I24" s="64">
        <f t="shared" si="10"/>
        <v>789.52370177621901</v>
      </c>
      <c r="J24" s="64">
        <v>32</v>
      </c>
      <c r="K24" s="64">
        <f t="shared" si="11"/>
        <v>25</v>
      </c>
      <c r="L24" s="64">
        <f t="shared" si="12"/>
        <v>361.86502998076702</v>
      </c>
      <c r="M24" s="64">
        <v>32</v>
      </c>
      <c r="N24" s="64">
        <f t="shared" si="13"/>
        <v>12</v>
      </c>
      <c r="O24" s="64">
        <f t="shared" si="14"/>
        <v>552.66659124335342</v>
      </c>
      <c r="P24" s="64">
        <v>32</v>
      </c>
      <c r="Q24" s="64">
        <f t="shared" si="15"/>
        <v>18</v>
      </c>
      <c r="R24" s="64">
        <f t="shared" si="16"/>
        <v>1315.8728362936984</v>
      </c>
      <c r="S24" s="64">
        <v>32</v>
      </c>
      <c r="T24" s="64">
        <f t="shared" si="17"/>
        <v>42</v>
      </c>
    </row>
    <row r="25" spans="1:20" x14ac:dyDescent="0.25">
      <c r="A25" s="133" t="s">
        <v>87</v>
      </c>
      <c r="B25" s="160">
        <f t="shared" si="5"/>
        <v>3190.4061545423688</v>
      </c>
      <c r="C25" s="64">
        <f t="shared" si="6"/>
        <v>1.5952030772711845</v>
      </c>
      <c r="D25" s="64">
        <f t="shared" si="7"/>
        <v>0.22788615389588349</v>
      </c>
      <c r="E25" s="133">
        <f t="shared" si="8"/>
        <v>1.5952030772711845</v>
      </c>
      <c r="F25" s="64">
        <v>7</v>
      </c>
      <c r="G25" s="64" t="s">
        <v>101</v>
      </c>
      <c r="H25" s="64">
        <f t="shared" si="9"/>
        <v>398.8007693177961</v>
      </c>
      <c r="I25" s="64">
        <f t="shared" si="10"/>
        <v>239.28046159067765</v>
      </c>
      <c r="J25" s="64">
        <v>32</v>
      </c>
      <c r="K25" s="64">
        <f t="shared" si="11"/>
        <v>8</v>
      </c>
      <c r="L25" s="64">
        <f t="shared" si="12"/>
        <v>109.67021156239392</v>
      </c>
      <c r="M25" s="64">
        <v>32</v>
      </c>
      <c r="N25" s="64">
        <f t="shared" si="13"/>
        <v>4</v>
      </c>
      <c r="O25" s="64">
        <f t="shared" si="14"/>
        <v>167.4963231134744</v>
      </c>
      <c r="P25" s="64">
        <v>32</v>
      </c>
      <c r="Q25" s="64">
        <f t="shared" si="15"/>
        <v>6</v>
      </c>
      <c r="R25" s="64">
        <f t="shared" si="16"/>
        <v>398.8007693177961</v>
      </c>
      <c r="S25" s="64">
        <v>32</v>
      </c>
      <c r="T25" s="64">
        <f t="shared" si="17"/>
        <v>13</v>
      </c>
    </row>
    <row r="26" spans="1:20" x14ac:dyDescent="0.25">
      <c r="A26" s="133" t="s">
        <v>88</v>
      </c>
      <c r="B26" s="160">
        <f t="shared" si="5"/>
        <v>2764.1135875098994</v>
      </c>
      <c r="C26" s="64">
        <f t="shared" si="6"/>
        <v>1.3820567937549497</v>
      </c>
      <c r="D26" s="64">
        <f t="shared" si="7"/>
        <v>0.19743668482213567</v>
      </c>
      <c r="E26" s="133">
        <f t="shared" si="8"/>
        <v>1.3820567937549497</v>
      </c>
      <c r="F26" s="64">
        <v>7</v>
      </c>
      <c r="G26" s="64" t="s">
        <v>101</v>
      </c>
      <c r="H26" s="64">
        <f t="shared" si="9"/>
        <v>345.51419843873742</v>
      </c>
      <c r="I26" s="64">
        <f t="shared" si="10"/>
        <v>207.30851906324244</v>
      </c>
      <c r="J26" s="64">
        <v>32</v>
      </c>
      <c r="K26" s="64">
        <f t="shared" si="11"/>
        <v>7</v>
      </c>
      <c r="L26" s="64">
        <f t="shared" si="12"/>
        <v>95.016404570652782</v>
      </c>
      <c r="M26" s="64">
        <v>32</v>
      </c>
      <c r="N26" s="64">
        <f t="shared" si="13"/>
        <v>3</v>
      </c>
      <c r="O26" s="64">
        <f t="shared" si="14"/>
        <v>145.11596334426974</v>
      </c>
      <c r="P26" s="64">
        <v>32</v>
      </c>
      <c r="Q26" s="64">
        <f t="shared" si="15"/>
        <v>5</v>
      </c>
      <c r="R26" s="64">
        <f t="shared" si="16"/>
        <v>345.51419843873742</v>
      </c>
      <c r="S26" s="64">
        <v>32</v>
      </c>
      <c r="T26" s="64">
        <f t="shared" si="17"/>
        <v>11</v>
      </c>
    </row>
    <row r="27" spans="1:20" x14ac:dyDescent="0.25">
      <c r="A27" s="265"/>
      <c r="B27" s="67"/>
      <c r="C27" s="67"/>
      <c r="D27" s="67"/>
      <c r="E27" s="265"/>
      <c r="F27" s="67"/>
      <c r="G27" s="67"/>
      <c r="H27" s="67"/>
      <c r="I27" s="67"/>
      <c r="J27" s="259" t="s">
        <v>103</v>
      </c>
      <c r="K27" s="259">
        <f>SUM(K21:K26)</f>
        <v>59</v>
      </c>
      <c r="L27" s="67"/>
      <c r="M27" s="259" t="s">
        <v>103</v>
      </c>
      <c r="N27" s="259">
        <f>SUM(N21:N26)</f>
        <v>29</v>
      </c>
      <c r="O27" s="67"/>
      <c r="P27" s="259" t="s">
        <v>103</v>
      </c>
      <c r="Q27" s="259">
        <f>SUM(Q21:Q26)</f>
        <v>43</v>
      </c>
      <c r="R27" s="67"/>
      <c r="S27" s="259" t="s">
        <v>103</v>
      </c>
      <c r="T27" s="259">
        <f>SUM(T21:T26)</f>
        <v>98</v>
      </c>
    </row>
    <row r="28" spans="1:20" s="263" customFormat="1" x14ac:dyDescent="0.25">
      <c r="A28" s="266"/>
      <c r="E28" s="266"/>
      <c r="J28" s="264"/>
      <c r="K28" s="264"/>
      <c r="M28" s="264"/>
      <c r="N28" s="264"/>
      <c r="P28" s="264"/>
      <c r="Q28" s="264"/>
      <c r="S28" s="264"/>
      <c r="T28" s="264"/>
    </row>
    <row r="29" spans="1:20" ht="60" x14ac:dyDescent="0.25">
      <c r="A29" s="267"/>
      <c r="B29" s="260"/>
      <c r="C29" s="260"/>
      <c r="D29" s="260"/>
      <c r="E29" s="267"/>
      <c r="F29" s="260"/>
      <c r="G29" s="260"/>
      <c r="H29" s="260" t="s">
        <v>307</v>
      </c>
      <c r="I29" s="261" t="s">
        <v>308</v>
      </c>
      <c r="J29" s="261" t="s">
        <v>313</v>
      </c>
      <c r="K29" s="261" t="s">
        <v>309</v>
      </c>
      <c r="L29" s="261" t="s">
        <v>310</v>
      </c>
      <c r="M29" s="261" t="s">
        <v>313</v>
      </c>
      <c r="N29" s="261" t="s">
        <v>309</v>
      </c>
      <c r="O29" s="261" t="s">
        <v>311</v>
      </c>
      <c r="P29" s="261" t="s">
        <v>313</v>
      </c>
      <c r="Q29" s="261" t="s">
        <v>309</v>
      </c>
      <c r="R29" s="261" t="s">
        <v>312</v>
      </c>
      <c r="S29" s="261" t="s">
        <v>313</v>
      </c>
      <c r="T29" s="261" t="s">
        <v>309</v>
      </c>
    </row>
    <row r="30" spans="1:20" x14ac:dyDescent="0.25">
      <c r="A30" s="133" t="s">
        <v>83</v>
      </c>
      <c r="B30" s="160">
        <v>1056.2280800995588</v>
      </c>
      <c r="C30" s="64">
        <f t="shared" ref="C30:C35" si="18">B30/2000</f>
        <v>0.52811404004977947</v>
      </c>
      <c r="D30" s="64">
        <f t="shared" ref="D30:D35" si="19">C30/7</f>
        <v>7.5444862864254211E-2</v>
      </c>
      <c r="E30" s="133"/>
      <c r="F30" s="64"/>
      <c r="G30" s="64"/>
      <c r="H30" s="64">
        <f t="shared" ref="H30:H35" si="20">B30/7</f>
        <v>150.88972572850841</v>
      </c>
      <c r="I30" s="64">
        <f t="shared" ref="I30:I35" si="21">H30*82.5%</f>
        <v>124.48402372601943</v>
      </c>
      <c r="J30" s="64">
        <v>100</v>
      </c>
      <c r="K30" s="64">
        <f t="shared" ref="K30:K35" si="22">INT(I30/J30)+1</f>
        <v>2</v>
      </c>
      <c r="L30" s="64">
        <f t="shared" ref="L30:L35" si="23">H30*27.5%</f>
        <v>41.494674575339815</v>
      </c>
      <c r="M30" s="64">
        <v>100</v>
      </c>
      <c r="N30" s="64">
        <f t="shared" ref="N30:N35" si="24">INT(L30/M30)+1</f>
        <v>1</v>
      </c>
      <c r="O30" s="64">
        <f t="shared" ref="O30:O35" si="25">H30*42%</f>
        <v>63.373684805973532</v>
      </c>
      <c r="P30" s="64">
        <v>100</v>
      </c>
      <c r="Q30" s="64">
        <f t="shared" ref="Q30:Q35" si="26">INT(O30/P30)+1</f>
        <v>1</v>
      </c>
      <c r="R30" s="64">
        <f t="shared" ref="R30:R35" si="27">H30</f>
        <v>150.88972572850841</v>
      </c>
      <c r="S30" s="64">
        <v>100</v>
      </c>
      <c r="T30" s="64">
        <f t="shared" ref="T30:T35" si="28">INT(R30/S30)+1</f>
        <v>2</v>
      </c>
    </row>
    <row r="31" spans="1:20" x14ac:dyDescent="0.25">
      <c r="A31" s="133" t="s">
        <v>84</v>
      </c>
      <c r="B31" s="160">
        <v>3092.6575404457517</v>
      </c>
      <c r="C31" s="64">
        <f t="shared" si="18"/>
        <v>1.5463287702228758</v>
      </c>
      <c r="D31" s="64">
        <f t="shared" si="19"/>
        <v>0.22090411003183941</v>
      </c>
      <c r="E31" s="133"/>
      <c r="F31" s="64"/>
      <c r="G31" s="64"/>
      <c r="H31" s="64">
        <f t="shared" si="20"/>
        <v>441.80822006367879</v>
      </c>
      <c r="I31" s="64">
        <f t="shared" si="21"/>
        <v>364.49178155253497</v>
      </c>
      <c r="J31" s="64">
        <v>100</v>
      </c>
      <c r="K31" s="64">
        <f t="shared" si="22"/>
        <v>4</v>
      </c>
      <c r="L31" s="64">
        <f t="shared" si="23"/>
        <v>121.49726051751168</v>
      </c>
      <c r="M31" s="64">
        <v>100</v>
      </c>
      <c r="N31" s="64">
        <f t="shared" si="24"/>
        <v>2</v>
      </c>
      <c r="O31" s="64">
        <f t="shared" si="25"/>
        <v>185.55945242674508</v>
      </c>
      <c r="P31" s="64">
        <v>100</v>
      </c>
      <c r="Q31" s="64">
        <f t="shared" si="26"/>
        <v>2</v>
      </c>
      <c r="R31" s="64">
        <f t="shared" si="27"/>
        <v>441.80822006367879</v>
      </c>
      <c r="S31" s="64">
        <v>100</v>
      </c>
      <c r="T31" s="64">
        <f t="shared" si="28"/>
        <v>5</v>
      </c>
    </row>
    <row r="32" spans="1:20" x14ac:dyDescent="0.25">
      <c r="A32" s="133" t="s">
        <v>85</v>
      </c>
      <c r="B32" s="160">
        <v>3369.6119470528342</v>
      </c>
      <c r="C32" s="64">
        <f t="shared" si="18"/>
        <v>1.6848059735264171</v>
      </c>
      <c r="D32" s="64">
        <f t="shared" si="19"/>
        <v>0.24068656764663102</v>
      </c>
      <c r="E32" s="133"/>
      <c r="F32" s="64"/>
      <c r="G32" s="64"/>
      <c r="H32" s="64">
        <f t="shared" si="20"/>
        <v>481.37313529326201</v>
      </c>
      <c r="I32" s="64">
        <f t="shared" si="21"/>
        <v>397.13283661694112</v>
      </c>
      <c r="J32" s="64">
        <v>100</v>
      </c>
      <c r="K32" s="64">
        <f t="shared" si="22"/>
        <v>4</v>
      </c>
      <c r="L32" s="64">
        <f t="shared" si="23"/>
        <v>132.37761220564707</v>
      </c>
      <c r="M32" s="64">
        <v>100</v>
      </c>
      <c r="N32" s="64">
        <f t="shared" si="24"/>
        <v>2</v>
      </c>
      <c r="O32" s="64">
        <f t="shared" si="25"/>
        <v>202.17671682317004</v>
      </c>
      <c r="P32" s="64">
        <v>100</v>
      </c>
      <c r="Q32" s="64">
        <f t="shared" si="26"/>
        <v>3</v>
      </c>
      <c r="R32" s="64">
        <f t="shared" si="27"/>
        <v>481.37313529326201</v>
      </c>
      <c r="S32" s="64">
        <v>100</v>
      </c>
      <c r="T32" s="64">
        <f t="shared" si="28"/>
        <v>5</v>
      </c>
    </row>
    <row r="33" spans="1:20" x14ac:dyDescent="0.25">
      <c r="A33" s="133" t="s">
        <v>86</v>
      </c>
      <c r="B33" s="160">
        <v>10526.982690349587</v>
      </c>
      <c r="C33" s="64">
        <f t="shared" si="18"/>
        <v>5.2634913451747938</v>
      </c>
      <c r="D33" s="64">
        <f t="shared" si="19"/>
        <v>0.75192733502497056</v>
      </c>
      <c r="E33" s="133"/>
      <c r="F33" s="64"/>
      <c r="G33" s="64"/>
      <c r="H33" s="64">
        <f t="shared" si="20"/>
        <v>1503.854670049941</v>
      </c>
      <c r="I33" s="64">
        <f t="shared" si="21"/>
        <v>1240.6801027912013</v>
      </c>
      <c r="J33" s="64">
        <v>100</v>
      </c>
      <c r="K33" s="64">
        <f t="shared" si="22"/>
        <v>13</v>
      </c>
      <c r="L33" s="64">
        <f t="shared" si="23"/>
        <v>413.56003426373383</v>
      </c>
      <c r="M33" s="64">
        <v>100</v>
      </c>
      <c r="N33" s="64">
        <f t="shared" si="24"/>
        <v>5</v>
      </c>
      <c r="O33" s="64">
        <f t="shared" si="25"/>
        <v>631.61896142097521</v>
      </c>
      <c r="P33" s="64">
        <v>100</v>
      </c>
      <c r="Q33" s="64">
        <f t="shared" si="26"/>
        <v>7</v>
      </c>
      <c r="R33" s="64">
        <f t="shared" si="27"/>
        <v>1503.854670049941</v>
      </c>
      <c r="S33" s="64">
        <v>100</v>
      </c>
      <c r="T33" s="64">
        <f t="shared" si="28"/>
        <v>16</v>
      </c>
    </row>
    <row r="34" spans="1:20" x14ac:dyDescent="0.25">
      <c r="A34" s="133" t="s">
        <v>87</v>
      </c>
      <c r="B34" s="160">
        <v>3190.4061545423688</v>
      </c>
      <c r="C34" s="64">
        <f t="shared" si="18"/>
        <v>1.5952030772711845</v>
      </c>
      <c r="D34" s="64">
        <f t="shared" si="19"/>
        <v>0.22788615389588349</v>
      </c>
      <c r="E34" s="133"/>
      <c r="F34" s="64"/>
      <c r="G34" s="64"/>
      <c r="H34" s="64">
        <f t="shared" si="20"/>
        <v>455.77230779176699</v>
      </c>
      <c r="I34" s="64">
        <f t="shared" si="21"/>
        <v>376.01215392820774</v>
      </c>
      <c r="J34" s="64">
        <v>100</v>
      </c>
      <c r="K34" s="64">
        <f t="shared" si="22"/>
        <v>4</v>
      </c>
      <c r="L34" s="64">
        <f t="shared" si="23"/>
        <v>125.33738464273593</v>
      </c>
      <c r="M34" s="64">
        <v>100</v>
      </c>
      <c r="N34" s="64">
        <f t="shared" si="24"/>
        <v>2</v>
      </c>
      <c r="O34" s="64">
        <f t="shared" si="25"/>
        <v>191.42436927254212</v>
      </c>
      <c r="P34" s="64">
        <v>100</v>
      </c>
      <c r="Q34" s="64">
        <f t="shared" si="26"/>
        <v>2</v>
      </c>
      <c r="R34" s="64">
        <f t="shared" si="27"/>
        <v>455.77230779176699</v>
      </c>
      <c r="S34" s="64">
        <v>100</v>
      </c>
      <c r="T34" s="64">
        <f t="shared" si="28"/>
        <v>5</v>
      </c>
    </row>
    <row r="35" spans="1:20" x14ac:dyDescent="0.25">
      <c r="A35" s="133" t="s">
        <v>88</v>
      </c>
      <c r="B35" s="160">
        <v>2764.1135875098994</v>
      </c>
      <c r="C35" s="64">
        <f t="shared" si="18"/>
        <v>1.3820567937549497</v>
      </c>
      <c r="D35" s="64">
        <f t="shared" si="19"/>
        <v>0.19743668482213567</v>
      </c>
      <c r="E35" s="133"/>
      <c r="F35" s="64"/>
      <c r="G35" s="64"/>
      <c r="H35" s="64">
        <f t="shared" si="20"/>
        <v>394.87336964427135</v>
      </c>
      <c r="I35" s="64">
        <f t="shared" si="21"/>
        <v>325.77052995652383</v>
      </c>
      <c r="J35" s="64">
        <v>100</v>
      </c>
      <c r="K35" s="64">
        <f t="shared" si="22"/>
        <v>4</v>
      </c>
      <c r="L35" s="64">
        <f t="shared" si="23"/>
        <v>108.59017665217463</v>
      </c>
      <c r="M35" s="64">
        <v>100</v>
      </c>
      <c r="N35" s="64">
        <f t="shared" si="24"/>
        <v>2</v>
      </c>
      <c r="O35" s="64">
        <f t="shared" si="25"/>
        <v>165.84681525059395</v>
      </c>
      <c r="P35" s="64">
        <v>100</v>
      </c>
      <c r="Q35" s="64">
        <f t="shared" si="26"/>
        <v>2</v>
      </c>
      <c r="R35" s="64">
        <f t="shared" si="27"/>
        <v>394.87336964427135</v>
      </c>
      <c r="S35" s="64">
        <v>100</v>
      </c>
      <c r="T35" s="64">
        <f t="shared" si="28"/>
        <v>4</v>
      </c>
    </row>
    <row r="36" spans="1:20" x14ac:dyDescent="0.25">
      <c r="A36" s="133"/>
      <c r="B36" s="64"/>
      <c r="C36" s="64"/>
      <c r="D36" s="64"/>
      <c r="E36" s="133"/>
      <c r="F36" s="64"/>
      <c r="G36" s="64"/>
      <c r="H36" s="64"/>
      <c r="I36" s="64"/>
      <c r="J36" s="64" t="s">
        <v>103</v>
      </c>
      <c r="K36" s="64">
        <f>SUM(K30:K35)</f>
        <v>31</v>
      </c>
      <c r="L36" s="64"/>
      <c r="M36" s="72" t="s">
        <v>103</v>
      </c>
      <c r="N36" s="72">
        <f>SUM(N30:N35)</f>
        <v>14</v>
      </c>
      <c r="O36" s="64"/>
      <c r="P36" s="72" t="s">
        <v>103</v>
      </c>
      <c r="Q36" s="72">
        <f>SUM(Q30:Q35)</f>
        <v>17</v>
      </c>
      <c r="R36" s="64"/>
      <c r="S36" s="72" t="s">
        <v>103</v>
      </c>
      <c r="T36" s="72">
        <f>SUM(T30:T35)</f>
        <v>37</v>
      </c>
    </row>
    <row r="37" spans="1:20" ht="45" x14ac:dyDescent="0.25">
      <c r="A37" s="133"/>
      <c r="B37" s="64"/>
      <c r="C37" s="64"/>
      <c r="D37" s="64"/>
      <c r="E37" s="133"/>
      <c r="F37" s="64"/>
      <c r="G37" s="64"/>
      <c r="H37" s="64"/>
      <c r="I37" s="64"/>
      <c r="J37" s="230" t="s">
        <v>314</v>
      </c>
      <c r="K37" s="57">
        <f>INT(K36*7/3)+1</f>
        <v>73</v>
      </c>
      <c r="L37" s="64"/>
      <c r="M37" s="230" t="s">
        <v>314</v>
      </c>
      <c r="N37" s="57">
        <f>INT(N36*7/3)+1</f>
        <v>33</v>
      </c>
      <c r="O37" s="64"/>
      <c r="P37" s="230" t="s">
        <v>314</v>
      </c>
      <c r="Q37" s="57">
        <f>INT(Q36*7/3)+1</f>
        <v>40</v>
      </c>
      <c r="R37" s="64"/>
      <c r="S37" s="230" t="s">
        <v>314</v>
      </c>
      <c r="T37" s="57">
        <f>INT(T36*7/3)+1</f>
        <v>87</v>
      </c>
    </row>
    <row r="38" spans="1:20" x14ac:dyDescent="0.25">
      <c r="K38" s="57">
        <f>INT(K34*7/3)+1</f>
        <v>10</v>
      </c>
      <c r="L38" s="57"/>
      <c r="M38" s="57"/>
      <c r="N38" s="57">
        <f t="shared" ref="N38:T38" si="29">INT(N34*7/3)+1</f>
        <v>5</v>
      </c>
      <c r="O38" s="57"/>
      <c r="P38" s="57"/>
      <c r="Q38" s="57">
        <f t="shared" si="29"/>
        <v>5</v>
      </c>
      <c r="R38" s="57"/>
      <c r="S38" s="57"/>
      <c r="T38" s="57">
        <f t="shared" si="29"/>
        <v>12</v>
      </c>
    </row>
    <row r="39" spans="1:20" x14ac:dyDescent="0.25">
      <c r="Q39" s="57">
        <f>INT(Q33*7/3)+1</f>
        <v>17</v>
      </c>
    </row>
  </sheetData>
  <mergeCells count="2">
    <mergeCell ref="J10:K10"/>
    <mergeCell ref="E8:G8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3"/>
  <sheetViews>
    <sheetView topLeftCell="A10" zoomScaleNormal="100" workbookViewId="0">
      <selection activeCell="C31" sqref="C31"/>
    </sheetView>
  </sheetViews>
  <sheetFormatPr defaultRowHeight="15" x14ac:dyDescent="0.25"/>
  <cols>
    <col min="1" max="1" width="15.140625" bestFit="1" customWidth="1"/>
    <col min="2" max="2" width="30" bestFit="1" customWidth="1"/>
    <col min="3" max="3" width="14.28515625" bestFit="1" customWidth="1"/>
    <col min="4" max="4" width="34.5703125" bestFit="1" customWidth="1"/>
    <col min="5" max="5" width="20.7109375" bestFit="1" customWidth="1"/>
    <col min="6" max="6" width="34" bestFit="1" customWidth="1"/>
    <col min="7" max="7" width="14.28515625" bestFit="1" customWidth="1"/>
    <col min="8" max="8" width="15.28515625" bestFit="1" customWidth="1"/>
    <col min="9" max="9" width="14.28515625" bestFit="1" customWidth="1"/>
    <col min="10" max="11" width="18.5703125" customWidth="1"/>
    <col min="12" max="12" width="15.28515625" customWidth="1"/>
    <col min="13" max="13" width="12" bestFit="1" customWidth="1"/>
    <col min="14" max="14" width="15" bestFit="1" customWidth="1"/>
    <col min="15" max="15" width="14.28515625" bestFit="1" customWidth="1"/>
  </cols>
  <sheetData>
    <row r="1" spans="2:7" x14ac:dyDescent="0.25">
      <c r="B1" s="352" t="s">
        <v>104</v>
      </c>
      <c r="C1" s="352"/>
      <c r="D1" s="352"/>
    </row>
    <row r="2" spans="2:7" x14ac:dyDescent="0.25">
      <c r="B2" s="6" t="s">
        <v>105</v>
      </c>
      <c r="C2" s="6">
        <v>5.3E-3</v>
      </c>
      <c r="D2" s="6" t="s">
        <v>106</v>
      </c>
    </row>
    <row r="3" spans="2:7" x14ac:dyDescent="0.25">
      <c r="B3" s="6" t="s">
        <v>105</v>
      </c>
      <c r="C3" s="6">
        <v>0.1</v>
      </c>
      <c r="D3" s="6" t="s">
        <v>107</v>
      </c>
    </row>
    <row r="4" spans="2:7" x14ac:dyDescent="0.25">
      <c r="B4" s="6">
        <f>C4*10</f>
        <v>4130.0090265600002</v>
      </c>
      <c r="C4" s="233">
        <f>'Biogas to electricity - Input'!E44</f>
        <v>413.00090265599999</v>
      </c>
      <c r="D4" s="6" t="s">
        <v>107</v>
      </c>
      <c r="E4" s="57" t="s">
        <v>108</v>
      </c>
    </row>
    <row r="5" spans="2:7" x14ac:dyDescent="0.25">
      <c r="B5" s="6" t="s">
        <v>342</v>
      </c>
      <c r="C5" s="6">
        <f>B4*C2</f>
        <v>21.889047840768001</v>
      </c>
      <c r="D5" s="6" t="s">
        <v>106</v>
      </c>
      <c r="E5" s="57">
        <f>C5*100</f>
        <v>2188.9047840767998</v>
      </c>
    </row>
    <row r="6" spans="2:7" x14ac:dyDescent="0.25">
      <c r="B6" s="47"/>
      <c r="C6" s="47"/>
      <c r="D6" s="47"/>
      <c r="E6" s="58"/>
    </row>
    <row r="7" spans="2:7" x14ac:dyDescent="0.25">
      <c r="B7" s="352" t="s">
        <v>109</v>
      </c>
      <c r="C7" s="352"/>
      <c r="D7" s="352"/>
      <c r="E7" s="352" t="s">
        <v>110</v>
      </c>
      <c r="F7" s="352"/>
    </row>
    <row r="8" spans="2:7" x14ac:dyDescent="0.25">
      <c r="B8" s="352" t="s">
        <v>111</v>
      </c>
      <c r="C8" s="352"/>
      <c r="D8" s="352"/>
      <c r="E8" s="352" t="s">
        <v>112</v>
      </c>
      <c r="F8" s="352"/>
    </row>
    <row r="9" spans="2:7" x14ac:dyDescent="0.25">
      <c r="B9" s="57" t="s">
        <v>113</v>
      </c>
      <c r="C9" s="57">
        <v>11.7</v>
      </c>
      <c r="D9" s="59" t="s">
        <v>55</v>
      </c>
      <c r="E9" s="57" t="s">
        <v>114</v>
      </c>
      <c r="F9" s="57" t="s">
        <v>115</v>
      </c>
    </row>
    <row r="10" spans="2:7" x14ac:dyDescent="0.25">
      <c r="B10" s="57">
        <v>800</v>
      </c>
      <c r="C10" s="57">
        <f>C9*B10</f>
        <v>9360</v>
      </c>
      <c r="D10" s="59" t="s">
        <v>116</v>
      </c>
      <c r="E10" s="57" t="s">
        <v>117</v>
      </c>
      <c r="F10" s="57" t="s">
        <v>118</v>
      </c>
    </row>
    <row r="11" spans="2:7" x14ac:dyDescent="0.25">
      <c r="B11" s="57"/>
      <c r="C11" s="57">
        <f>C10*365</f>
        <v>3416400</v>
      </c>
      <c r="D11" s="59" t="s">
        <v>119</v>
      </c>
      <c r="E11" s="57" t="s">
        <v>120</v>
      </c>
      <c r="F11" s="60">
        <v>11706155</v>
      </c>
    </row>
    <row r="12" spans="2:7" x14ac:dyDescent="0.25">
      <c r="B12" s="57"/>
      <c r="C12" s="60">
        <f>C11*2</f>
        <v>6832800</v>
      </c>
      <c r="D12" s="59" t="s">
        <v>121</v>
      </c>
      <c r="E12" s="57" t="s">
        <v>114</v>
      </c>
      <c r="F12" s="61">
        <f>F11*58%</f>
        <v>6789569.8999999994</v>
      </c>
    </row>
    <row r="13" spans="2:7" x14ac:dyDescent="0.25">
      <c r="B13" s="57"/>
      <c r="C13" s="57"/>
      <c r="D13" s="59"/>
      <c r="E13" s="57"/>
      <c r="F13" s="57"/>
      <c r="G13" s="229"/>
    </row>
    <row r="14" spans="2:7" x14ac:dyDescent="0.25">
      <c r="B14" s="57" t="s">
        <v>122</v>
      </c>
      <c r="C14" s="57">
        <v>0.1</v>
      </c>
      <c r="D14" s="59" t="s">
        <v>123</v>
      </c>
      <c r="E14" s="57" t="s">
        <v>117</v>
      </c>
      <c r="F14" s="61">
        <f>F11*12%</f>
        <v>1404738.5999999999</v>
      </c>
      <c r="G14" s="229"/>
    </row>
    <row r="15" spans="2:7" x14ac:dyDescent="0.25">
      <c r="B15" s="57" t="s">
        <v>124</v>
      </c>
      <c r="C15" s="57">
        <v>800</v>
      </c>
      <c r="D15" s="59" t="s">
        <v>123</v>
      </c>
      <c r="E15" s="57"/>
      <c r="F15" s="57"/>
    </row>
    <row r="16" spans="2:7" x14ac:dyDescent="0.25">
      <c r="B16" s="57" t="s">
        <v>122</v>
      </c>
      <c r="C16" s="62">
        <v>5.3E-3</v>
      </c>
      <c r="D16" s="59" t="s">
        <v>106</v>
      </c>
      <c r="E16" s="57" t="s">
        <v>125</v>
      </c>
      <c r="F16" s="63">
        <f>F14/F12</f>
        <v>0.20689655172413793</v>
      </c>
    </row>
    <row r="17" spans="1:15" x14ac:dyDescent="0.25">
      <c r="B17" s="57" t="s">
        <v>124</v>
      </c>
      <c r="C17" s="57">
        <f>8000*C16</f>
        <v>42.4</v>
      </c>
      <c r="D17" s="59" t="s">
        <v>126</v>
      </c>
      <c r="E17" s="57"/>
      <c r="F17" s="57"/>
    </row>
    <row r="18" spans="1:15" x14ac:dyDescent="0.25">
      <c r="B18" s="57"/>
      <c r="C18" s="57">
        <f>C17*365</f>
        <v>15476</v>
      </c>
      <c r="D18" s="59" t="s">
        <v>127</v>
      </c>
      <c r="E18" s="57" t="s">
        <v>128</v>
      </c>
      <c r="F18" s="60">
        <v>884585</v>
      </c>
    </row>
    <row r="19" spans="1:15" x14ac:dyDescent="0.25">
      <c r="B19" s="57"/>
      <c r="C19" s="60">
        <f>C18*100</f>
        <v>1547600</v>
      </c>
      <c r="D19" s="57" t="s">
        <v>129</v>
      </c>
      <c r="E19" s="57"/>
      <c r="F19" s="57"/>
    </row>
    <row r="20" spans="1:15" ht="30" x14ac:dyDescent="0.25">
      <c r="B20" s="57" t="s">
        <v>130</v>
      </c>
      <c r="C20" s="63">
        <f>C19/C12</f>
        <v>0.2264957264957265</v>
      </c>
      <c r="D20" s="64"/>
      <c r="E20" s="64"/>
      <c r="F20" s="64"/>
      <c r="H20" s="64" t="s">
        <v>316</v>
      </c>
      <c r="I20" s="64" t="s">
        <v>317</v>
      </c>
      <c r="J20" s="133" t="s">
        <v>322</v>
      </c>
      <c r="K20" s="230" t="s">
        <v>325</v>
      </c>
      <c r="L20" s="64" t="s">
        <v>318</v>
      </c>
      <c r="M20" s="64" t="s">
        <v>320</v>
      </c>
      <c r="N20" s="64" t="s">
        <v>319</v>
      </c>
      <c r="O20" s="64" t="s">
        <v>321</v>
      </c>
    </row>
    <row r="21" spans="1:15" x14ac:dyDescent="0.25">
      <c r="H21" s="70">
        <v>7595000</v>
      </c>
      <c r="I21" s="70">
        <v>3824000</v>
      </c>
      <c r="J21" s="70">
        <f t="shared" ref="J21:J23" si="0">I21-H21</f>
        <v>-3771000</v>
      </c>
      <c r="K21" s="60">
        <f t="shared" ref="K21:K23" si="1">J21-N21</f>
        <v>-2932960</v>
      </c>
      <c r="L21" s="70">
        <f>C11*1+C18*50</f>
        <v>4190200</v>
      </c>
      <c r="M21" s="69">
        <v>-0.2</v>
      </c>
      <c r="N21" s="71">
        <f>L21*M21</f>
        <v>-838040</v>
      </c>
      <c r="O21" s="71">
        <f>L21+N21</f>
        <v>3352160</v>
      </c>
    </row>
    <row r="22" spans="1:15" x14ac:dyDescent="0.25">
      <c r="A22" s="352" t="s">
        <v>131</v>
      </c>
      <c r="B22" s="352"/>
      <c r="C22" s="352"/>
      <c r="D22" s="352"/>
      <c r="H22" s="70">
        <v>11767000</v>
      </c>
      <c r="I22" s="70">
        <v>7162000</v>
      </c>
      <c r="J22" s="70">
        <f t="shared" si="0"/>
        <v>-4605000</v>
      </c>
      <c r="K22" s="60">
        <f t="shared" si="1"/>
        <v>-2928920</v>
      </c>
      <c r="L22" s="70">
        <f>C12+C19</f>
        <v>8380400</v>
      </c>
      <c r="M22" s="69">
        <v>-0.2</v>
      </c>
      <c r="N22" s="71">
        <f>L22*M22</f>
        <v>-1676080</v>
      </c>
      <c r="O22" s="71">
        <f>L22+N22</f>
        <v>6704320</v>
      </c>
    </row>
    <row r="23" spans="1:15" x14ac:dyDescent="0.25">
      <c r="A23" s="65"/>
      <c r="B23" s="79" t="s">
        <v>337</v>
      </c>
      <c r="C23" s="66">
        <f>'Biogas to electricity - Input'!E40</f>
        <v>3072923.3828571429</v>
      </c>
      <c r="D23" s="64"/>
      <c r="H23" s="70">
        <v>15149000</v>
      </c>
      <c r="I23" s="70">
        <v>9867000</v>
      </c>
      <c r="J23" s="70">
        <f t="shared" si="0"/>
        <v>-5282000</v>
      </c>
      <c r="K23" s="60">
        <f t="shared" si="1"/>
        <v>-2938700</v>
      </c>
      <c r="L23" s="70">
        <f>C11*2.75+C18*150</f>
        <v>11716500</v>
      </c>
      <c r="M23" s="69">
        <v>-0.2</v>
      </c>
      <c r="N23" s="71">
        <f>L23*M23</f>
        <v>-2343300</v>
      </c>
      <c r="O23" s="71">
        <f>L23+N23</f>
        <v>9373200</v>
      </c>
    </row>
    <row r="24" spans="1:15" x14ac:dyDescent="0.25">
      <c r="A24" s="65"/>
      <c r="B24" s="79" t="s">
        <v>339</v>
      </c>
      <c r="C24" s="64">
        <f>C23*32*7/1000000</f>
        <v>688.33483776000003</v>
      </c>
      <c r="D24" s="64"/>
      <c r="G24" s="54"/>
    </row>
    <row r="25" spans="1:15" x14ac:dyDescent="0.25">
      <c r="A25" s="65"/>
      <c r="B25" s="79" t="s">
        <v>341</v>
      </c>
      <c r="C25" s="65">
        <f>'Biogas to electricity - Input'!E44</f>
        <v>413.00090265599999</v>
      </c>
      <c r="D25" s="64"/>
      <c r="G25" s="54"/>
    </row>
    <row r="26" spans="1:15" x14ac:dyDescent="0.25">
      <c r="A26" s="64"/>
      <c r="B26" s="84" t="s">
        <v>54</v>
      </c>
      <c r="C26" s="64">
        <v>11.7</v>
      </c>
      <c r="D26" s="64" t="s">
        <v>55</v>
      </c>
      <c r="J26" s="57" t="s">
        <v>323</v>
      </c>
      <c r="K26" s="57" t="s">
        <v>324</v>
      </c>
    </row>
    <row r="27" spans="1:15" x14ac:dyDescent="0.25">
      <c r="A27" s="64"/>
      <c r="B27" s="84" t="s">
        <v>342</v>
      </c>
      <c r="C27" s="237">
        <f>C26*C25</f>
        <v>4832.1105610751993</v>
      </c>
      <c r="D27" s="57" t="s">
        <v>57</v>
      </c>
      <c r="J27" s="231">
        <f>B10*365</f>
        <v>292000</v>
      </c>
      <c r="K27" s="61">
        <f>K22</f>
        <v>-2928920</v>
      </c>
    </row>
    <row r="28" spans="1:15" x14ac:dyDescent="0.25">
      <c r="A28" s="64"/>
      <c r="B28" s="64"/>
      <c r="C28" s="52">
        <f>C27*2</f>
        <v>9664.2211221503985</v>
      </c>
      <c r="D28" s="57" t="s">
        <v>132</v>
      </c>
      <c r="J28" s="68">
        <f>C34</f>
        <v>413.00090265599999</v>
      </c>
      <c r="K28" s="60">
        <f>J28/J27*K27</f>
        <v>-4142.6253555041485</v>
      </c>
    </row>
    <row r="29" spans="1:15" x14ac:dyDescent="0.25">
      <c r="A29" s="64"/>
      <c r="B29" s="64"/>
      <c r="C29" s="57"/>
      <c r="D29" s="57"/>
    </row>
    <row r="30" spans="1:15" x14ac:dyDescent="0.25">
      <c r="A30" s="57" t="s">
        <v>133</v>
      </c>
      <c r="B30" s="57" t="s">
        <v>59</v>
      </c>
      <c r="C30" s="57" t="s">
        <v>60</v>
      </c>
      <c r="D30" s="57" t="s">
        <v>134</v>
      </c>
    </row>
    <row r="31" spans="1:15" x14ac:dyDescent="0.25">
      <c r="A31" s="60">
        <f>'Biogas to electricity - Input'!$D$35</f>
        <v>4575.170752735834</v>
      </c>
      <c r="B31" s="60">
        <f>'Biogas to electricity - Input'!$E$35</f>
        <v>869.9879071557848</v>
      </c>
      <c r="C31" s="60">
        <f>'Biogas to electricity - Input'!$F$35</f>
        <v>186.37704133314341</v>
      </c>
      <c r="D31" s="61">
        <f>'Biogas to electricity - Input'!$G$35</f>
        <v>-2781.1921913367355</v>
      </c>
      <c r="E31" s="54">
        <f>E5/C28</f>
        <v>0.22649572649572652</v>
      </c>
    </row>
    <row r="32" spans="1:15" x14ac:dyDescent="0.25">
      <c r="A32" s="67"/>
      <c r="B32" s="67"/>
      <c r="C32" s="67"/>
      <c r="D32" s="67"/>
    </row>
    <row r="33" spans="1:7" x14ac:dyDescent="0.25">
      <c r="A33" s="64"/>
      <c r="B33" s="349" t="s">
        <v>135</v>
      </c>
      <c r="C33" s="350"/>
      <c r="D33" s="351"/>
      <c r="E33" s="349" t="s">
        <v>136</v>
      </c>
      <c r="F33" s="351"/>
    </row>
    <row r="34" spans="1:7" x14ac:dyDescent="0.25">
      <c r="A34" s="64"/>
      <c r="B34" s="64" t="s">
        <v>137</v>
      </c>
      <c r="C34" s="65">
        <f>'Biogas to electricity - Input'!E44</f>
        <v>413.00090265599999</v>
      </c>
      <c r="D34" s="65"/>
      <c r="E34" s="68">
        <v>800</v>
      </c>
      <c r="F34" s="64" t="s">
        <v>138</v>
      </c>
    </row>
    <row r="35" spans="1:7" x14ac:dyDescent="0.25">
      <c r="A35" s="64"/>
      <c r="B35" s="64" t="s">
        <v>330</v>
      </c>
      <c r="C35" s="64" t="s">
        <v>329</v>
      </c>
      <c r="D35" s="64"/>
      <c r="E35" s="68"/>
      <c r="F35" s="64"/>
    </row>
    <row r="36" spans="1:7" x14ac:dyDescent="0.25">
      <c r="A36" s="64"/>
      <c r="B36" s="64" t="s">
        <v>328</v>
      </c>
      <c r="C36" s="64">
        <f>C34*7.74</f>
        <v>3196.62698655744</v>
      </c>
      <c r="D36" s="64"/>
      <c r="E36" s="68"/>
      <c r="F36" s="64"/>
    </row>
    <row r="37" spans="1:7" x14ac:dyDescent="0.25">
      <c r="A37" s="64"/>
      <c r="B37" s="64" t="s">
        <v>139</v>
      </c>
      <c r="C37" s="69">
        <v>0.99</v>
      </c>
      <c r="D37" s="64"/>
      <c r="E37" s="57">
        <f>E34*365</f>
        <v>292000</v>
      </c>
      <c r="F37" s="64" t="s">
        <v>140</v>
      </c>
    </row>
    <row r="38" spans="1:7" x14ac:dyDescent="0.25">
      <c r="A38" s="64"/>
      <c r="B38" s="64" t="s">
        <v>141</v>
      </c>
      <c r="C38" s="232">
        <v>0.39</v>
      </c>
      <c r="D38" s="64" t="s">
        <v>345</v>
      </c>
      <c r="E38" s="249">
        <v>3</v>
      </c>
      <c r="F38" s="64" t="s">
        <v>349</v>
      </c>
    </row>
    <row r="39" spans="1:7" x14ac:dyDescent="0.25">
      <c r="A39" s="64"/>
      <c r="B39" s="57" t="s">
        <v>142</v>
      </c>
      <c r="C39" s="60">
        <f>C36*C37*C38</f>
        <v>1234.2176795098276</v>
      </c>
      <c r="D39" s="64"/>
      <c r="E39" s="60">
        <f>E37*E38*C37</f>
        <v>867240</v>
      </c>
      <c r="F39" s="64" t="s">
        <v>143</v>
      </c>
      <c r="G39" s="229"/>
    </row>
    <row r="40" spans="1:7" x14ac:dyDescent="0.25">
      <c r="A40" s="64"/>
      <c r="B40" s="64"/>
      <c r="C40" s="70"/>
      <c r="D40" s="64"/>
      <c r="E40" s="60">
        <v>-991000</v>
      </c>
      <c r="F40" s="64" t="s">
        <v>256</v>
      </c>
    </row>
    <row r="41" spans="1:7" ht="30" x14ac:dyDescent="0.25">
      <c r="A41" s="64"/>
      <c r="B41" s="64"/>
      <c r="C41" s="70"/>
      <c r="D41" s="64"/>
      <c r="E41" s="60">
        <f>E40*(1+3%*10)*0.1</f>
        <v>-128830</v>
      </c>
      <c r="F41" s="133" t="s">
        <v>257</v>
      </c>
    </row>
    <row r="42" spans="1:7" x14ac:dyDescent="0.25">
      <c r="A42" s="64"/>
      <c r="B42" s="57" t="s">
        <v>254</v>
      </c>
      <c r="C42" s="60">
        <f>C34*E42</f>
        <v>-182.21543249716603</v>
      </c>
      <c r="D42" s="64"/>
      <c r="E42" s="61">
        <f>E41/E37</f>
        <v>-0.44119863013698629</v>
      </c>
      <c r="F42" s="64" t="s">
        <v>253</v>
      </c>
    </row>
    <row r="43" spans="1:7" x14ac:dyDescent="0.25">
      <c r="A43" s="64"/>
      <c r="B43" s="57" t="s">
        <v>254</v>
      </c>
      <c r="C43" s="71">
        <f>C39*E43</f>
        <v>-183.34516817864846</v>
      </c>
      <c r="D43" s="64"/>
      <c r="E43" s="61">
        <f>E41/E39</f>
        <v>-0.14855172731885061</v>
      </c>
      <c r="F43" s="64" t="s">
        <v>255</v>
      </c>
    </row>
    <row r="45" spans="1:7" x14ac:dyDescent="0.25">
      <c r="D45" s="138"/>
    </row>
    <row r="62" spans="3:6" x14ac:dyDescent="0.25">
      <c r="C62" s="54"/>
    </row>
    <row r="63" spans="3:6" x14ac:dyDescent="0.25">
      <c r="C63" s="54"/>
      <c r="F63" s="54"/>
    </row>
    <row r="64" spans="3:6" x14ac:dyDescent="0.25">
      <c r="C64" s="54"/>
    </row>
    <row r="65" spans="3:5" x14ac:dyDescent="0.25">
      <c r="C65" s="54"/>
    </row>
    <row r="66" spans="3:5" x14ac:dyDescent="0.25">
      <c r="C66" s="54"/>
    </row>
    <row r="67" spans="3:5" x14ac:dyDescent="0.25">
      <c r="C67" s="54"/>
    </row>
    <row r="68" spans="3:5" x14ac:dyDescent="0.25">
      <c r="C68" s="54"/>
    </row>
    <row r="69" spans="3:5" x14ac:dyDescent="0.25">
      <c r="C69" s="54"/>
    </row>
    <row r="70" spans="3:5" x14ac:dyDescent="0.25">
      <c r="C70" s="54"/>
    </row>
    <row r="71" spans="3:5" x14ac:dyDescent="0.25">
      <c r="C71" s="54"/>
    </row>
    <row r="72" spans="3:5" x14ac:dyDescent="0.25">
      <c r="C72" s="54"/>
    </row>
    <row r="73" spans="3:5" x14ac:dyDescent="0.25">
      <c r="C73" s="54"/>
      <c r="E73" s="54"/>
    </row>
  </sheetData>
  <mergeCells count="8">
    <mergeCell ref="B33:D33"/>
    <mergeCell ref="E33:F33"/>
    <mergeCell ref="B1:D1"/>
    <mergeCell ref="B7:D7"/>
    <mergeCell ref="E7:F7"/>
    <mergeCell ref="B8:D8"/>
    <mergeCell ref="E8:F8"/>
    <mergeCell ref="A22:D2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N61"/>
  <sheetViews>
    <sheetView topLeftCell="G1" workbookViewId="0">
      <selection activeCell="D24" sqref="D24"/>
    </sheetView>
  </sheetViews>
  <sheetFormatPr defaultRowHeight="15" x14ac:dyDescent="0.25"/>
  <cols>
    <col min="1" max="1" width="26.140625" bestFit="1" customWidth="1"/>
    <col min="2" max="2" width="14.28515625" bestFit="1" customWidth="1"/>
    <col min="3" max="3" width="19" bestFit="1" customWidth="1"/>
    <col min="4" max="5" width="14.28515625" bestFit="1" customWidth="1"/>
    <col min="6" max="6" width="75.5703125" style="156" bestFit="1" customWidth="1"/>
    <col min="9" max="9" width="26.140625" bestFit="1" customWidth="1"/>
    <col min="10" max="10" width="12.5703125" bestFit="1" customWidth="1"/>
    <col min="11" max="11" width="19" bestFit="1" customWidth="1"/>
    <col min="12" max="13" width="12.5703125" bestFit="1" customWidth="1"/>
    <col min="14" max="14" width="77.42578125" customWidth="1"/>
  </cols>
  <sheetData>
    <row r="1" spans="1:14" x14ac:dyDescent="0.25">
      <c r="A1" s="360" t="s">
        <v>62</v>
      </c>
      <c r="B1" s="362" t="s">
        <v>190</v>
      </c>
      <c r="C1" s="362"/>
      <c r="D1" s="362"/>
      <c r="E1" s="362"/>
      <c r="F1" s="364">
        <v>45000</v>
      </c>
    </row>
    <row r="2" spans="1:14" x14ac:dyDescent="0.25">
      <c r="A2" s="361"/>
      <c r="B2" s="363"/>
      <c r="C2" s="363"/>
      <c r="D2" s="363"/>
      <c r="E2" s="363"/>
      <c r="F2" s="365"/>
    </row>
    <row r="3" spans="1:14" ht="21" x14ac:dyDescent="0.25">
      <c r="A3" s="130"/>
      <c r="B3" s="131"/>
      <c r="C3" s="131"/>
      <c r="D3" s="131"/>
      <c r="E3" s="131"/>
      <c r="F3" s="250"/>
    </row>
    <row r="4" spans="1:14" ht="21" x14ac:dyDescent="0.25">
      <c r="A4" s="352" t="s">
        <v>358</v>
      </c>
      <c r="B4" s="352"/>
      <c r="C4" s="352"/>
      <c r="D4" s="352"/>
      <c r="E4" s="352"/>
      <c r="F4" s="137"/>
      <c r="I4" s="352" t="s">
        <v>350</v>
      </c>
      <c r="J4" s="352"/>
      <c r="K4" s="352"/>
      <c r="L4" s="352"/>
      <c r="M4" s="352"/>
      <c r="N4" s="137"/>
    </row>
    <row r="5" spans="1:14" ht="21" hidden="1" x14ac:dyDescent="0.25">
      <c r="A5" s="57"/>
      <c r="B5" s="60" t="s">
        <v>144</v>
      </c>
      <c r="C5" s="356" t="s">
        <v>145</v>
      </c>
      <c r="D5" s="356"/>
      <c r="E5" s="356"/>
      <c r="F5" s="137"/>
      <c r="I5" s="57"/>
      <c r="J5" s="60" t="s">
        <v>144</v>
      </c>
      <c r="K5" s="356" t="s">
        <v>145</v>
      </c>
      <c r="L5" s="356"/>
      <c r="M5" s="356"/>
      <c r="N5" s="137"/>
    </row>
    <row r="6" spans="1:14" ht="21" hidden="1" x14ac:dyDescent="0.25">
      <c r="A6" s="57"/>
      <c r="B6" s="70"/>
      <c r="C6" s="60" t="s">
        <v>146</v>
      </c>
      <c r="D6" s="60" t="s">
        <v>147</v>
      </c>
      <c r="E6" s="60" t="s">
        <v>148</v>
      </c>
      <c r="F6" s="137"/>
      <c r="I6" s="57"/>
      <c r="J6" s="70"/>
      <c r="K6" s="60" t="s">
        <v>146</v>
      </c>
      <c r="L6" s="60" t="s">
        <v>147</v>
      </c>
      <c r="M6" s="60" t="s">
        <v>148</v>
      </c>
      <c r="N6" s="137"/>
    </row>
    <row r="7" spans="1:14" hidden="1" x14ac:dyDescent="0.25">
      <c r="A7" s="125" t="s">
        <v>149</v>
      </c>
      <c r="B7" s="127">
        <v>50000</v>
      </c>
      <c r="C7" s="127">
        <f t="shared" ref="C7:C12" si="0">B7*0.5</f>
        <v>25000</v>
      </c>
      <c r="D7" s="127">
        <f t="shared" ref="D7:D12" si="1">B7*0.75</f>
        <v>37500</v>
      </c>
      <c r="E7" s="127">
        <f t="shared" ref="E7:E12" si="2">B7*1</f>
        <v>50000</v>
      </c>
      <c r="F7" s="353" t="s">
        <v>228</v>
      </c>
      <c r="I7" s="125" t="s">
        <v>149</v>
      </c>
      <c r="J7" s="127">
        <v>50000</v>
      </c>
      <c r="K7" s="127">
        <f t="shared" ref="K7:K12" si="3">J7*0.5</f>
        <v>25000</v>
      </c>
      <c r="L7" s="127">
        <f t="shared" ref="L7:L12" si="4">J7*0.75</f>
        <v>37500</v>
      </c>
      <c r="M7" s="127">
        <f t="shared" ref="M7:M12" si="5">J7*1</f>
        <v>50000</v>
      </c>
      <c r="N7" s="353" t="s">
        <v>228</v>
      </c>
    </row>
    <row r="8" spans="1:14" hidden="1" x14ac:dyDescent="0.25">
      <c r="A8" s="125" t="s">
        <v>85</v>
      </c>
      <c r="B8" s="127">
        <v>20000</v>
      </c>
      <c r="C8" s="127">
        <f t="shared" si="0"/>
        <v>10000</v>
      </c>
      <c r="D8" s="127">
        <f t="shared" si="1"/>
        <v>15000</v>
      </c>
      <c r="E8" s="127">
        <f t="shared" si="2"/>
        <v>20000</v>
      </c>
      <c r="F8" s="354"/>
      <c r="I8" s="125" t="s">
        <v>85</v>
      </c>
      <c r="J8" s="127">
        <v>20000</v>
      </c>
      <c r="K8" s="127">
        <f t="shared" si="3"/>
        <v>10000</v>
      </c>
      <c r="L8" s="127">
        <f t="shared" si="4"/>
        <v>15000</v>
      </c>
      <c r="M8" s="127">
        <f t="shared" si="5"/>
        <v>20000</v>
      </c>
      <c r="N8" s="354"/>
    </row>
    <row r="9" spans="1:14" hidden="1" x14ac:dyDescent="0.25">
      <c r="A9" s="125" t="s">
        <v>150</v>
      </c>
      <c r="B9" s="127">
        <v>20000</v>
      </c>
      <c r="C9" s="127">
        <f t="shared" si="0"/>
        <v>10000</v>
      </c>
      <c r="D9" s="127">
        <f t="shared" si="1"/>
        <v>15000</v>
      </c>
      <c r="E9" s="127">
        <f t="shared" si="2"/>
        <v>20000</v>
      </c>
      <c r="F9" s="354"/>
      <c r="I9" s="125" t="s">
        <v>150</v>
      </c>
      <c r="J9" s="127">
        <v>20000</v>
      </c>
      <c r="K9" s="127">
        <f t="shared" si="3"/>
        <v>10000</v>
      </c>
      <c r="L9" s="127">
        <f t="shared" si="4"/>
        <v>15000</v>
      </c>
      <c r="M9" s="127">
        <f t="shared" si="5"/>
        <v>20000</v>
      </c>
      <c r="N9" s="354"/>
    </row>
    <row r="10" spans="1:14" hidden="1" x14ac:dyDescent="0.25">
      <c r="A10" s="125" t="s">
        <v>87</v>
      </c>
      <c r="B10" s="127">
        <v>20000</v>
      </c>
      <c r="C10" s="127">
        <f t="shared" si="0"/>
        <v>10000</v>
      </c>
      <c r="D10" s="127">
        <f t="shared" si="1"/>
        <v>15000</v>
      </c>
      <c r="E10" s="127">
        <f t="shared" si="2"/>
        <v>20000</v>
      </c>
      <c r="F10" s="354"/>
      <c r="I10" s="125" t="s">
        <v>87</v>
      </c>
      <c r="J10" s="127">
        <v>20000</v>
      </c>
      <c r="K10" s="127">
        <f t="shared" si="3"/>
        <v>10000</v>
      </c>
      <c r="L10" s="127">
        <f t="shared" si="4"/>
        <v>15000</v>
      </c>
      <c r="M10" s="127">
        <f t="shared" si="5"/>
        <v>20000</v>
      </c>
      <c r="N10" s="354"/>
    </row>
    <row r="11" spans="1:14" hidden="1" x14ac:dyDescent="0.25">
      <c r="A11" s="125" t="s">
        <v>88</v>
      </c>
      <c r="B11" s="127">
        <v>20000</v>
      </c>
      <c r="C11" s="127">
        <f t="shared" si="0"/>
        <v>10000</v>
      </c>
      <c r="D11" s="127">
        <f t="shared" si="1"/>
        <v>15000</v>
      </c>
      <c r="E11" s="127">
        <f t="shared" si="2"/>
        <v>20000</v>
      </c>
      <c r="F11" s="354"/>
      <c r="I11" s="125" t="s">
        <v>88</v>
      </c>
      <c r="J11" s="127">
        <v>20000</v>
      </c>
      <c r="K11" s="127">
        <f t="shared" si="3"/>
        <v>10000</v>
      </c>
      <c r="L11" s="127">
        <f t="shared" si="4"/>
        <v>15000</v>
      </c>
      <c r="M11" s="127">
        <f t="shared" si="5"/>
        <v>20000</v>
      </c>
      <c r="N11" s="354"/>
    </row>
    <row r="12" spans="1:14" hidden="1" x14ac:dyDescent="0.25">
      <c r="A12" s="125" t="s">
        <v>251</v>
      </c>
      <c r="B12" s="127">
        <v>20000</v>
      </c>
      <c r="C12" s="127">
        <f t="shared" si="0"/>
        <v>10000</v>
      </c>
      <c r="D12" s="127">
        <f t="shared" si="1"/>
        <v>15000</v>
      </c>
      <c r="E12" s="127">
        <f t="shared" si="2"/>
        <v>20000</v>
      </c>
      <c r="F12" s="354"/>
      <c r="I12" s="125" t="s">
        <v>251</v>
      </c>
      <c r="J12" s="127">
        <v>20000</v>
      </c>
      <c r="K12" s="127">
        <f t="shared" si="3"/>
        <v>10000</v>
      </c>
      <c r="L12" s="127">
        <f t="shared" si="4"/>
        <v>15000</v>
      </c>
      <c r="M12" s="127">
        <f t="shared" si="5"/>
        <v>20000</v>
      </c>
      <c r="N12" s="354"/>
    </row>
    <row r="13" spans="1:14" hidden="1" x14ac:dyDescent="0.25">
      <c r="A13" s="128" t="s">
        <v>103</v>
      </c>
      <c r="B13" s="127">
        <f>SUM(B7:B12)</f>
        <v>150000</v>
      </c>
      <c r="C13" s="127">
        <f>SUM(C7:C12)</f>
        <v>75000</v>
      </c>
      <c r="D13" s="127">
        <f>SUM(D7:D12)</f>
        <v>112500</v>
      </c>
      <c r="E13" s="127">
        <f>SUM(E7:E12)</f>
        <v>150000</v>
      </c>
      <c r="F13" s="354"/>
      <c r="I13" s="128" t="s">
        <v>103</v>
      </c>
      <c r="J13" s="127">
        <f>SUM(J7:J12)</f>
        <v>150000</v>
      </c>
      <c r="K13" s="127">
        <f>SUM(K7:K12)</f>
        <v>75000</v>
      </c>
      <c r="L13" s="127">
        <f>SUM(L7:L12)</f>
        <v>112500</v>
      </c>
      <c r="M13" s="127">
        <f>SUM(M7:M12)</f>
        <v>150000</v>
      </c>
      <c r="N13" s="354"/>
    </row>
    <row r="14" spans="1:14" hidden="1" x14ac:dyDescent="0.25">
      <c r="A14" s="125"/>
      <c r="B14" s="127"/>
      <c r="C14" s="129" t="s">
        <v>151</v>
      </c>
      <c r="D14" s="129"/>
      <c r="E14" s="129"/>
      <c r="F14" s="354"/>
      <c r="I14" s="125"/>
      <c r="J14" s="127"/>
      <c r="K14" s="129" t="s">
        <v>151</v>
      </c>
      <c r="L14" s="129"/>
      <c r="M14" s="129"/>
      <c r="N14" s="354"/>
    </row>
    <row r="15" spans="1:14" hidden="1" x14ac:dyDescent="0.25">
      <c r="A15" s="125"/>
      <c r="B15" s="126" t="s">
        <v>103</v>
      </c>
      <c r="C15" s="127">
        <f>SUM(B13,C13)</f>
        <v>225000</v>
      </c>
      <c r="D15" s="127">
        <f>SUM(B13,D13)</f>
        <v>262500</v>
      </c>
      <c r="E15" s="127">
        <f>SUM(B13,E13)</f>
        <v>300000</v>
      </c>
      <c r="F15" s="355"/>
      <c r="I15" s="125"/>
      <c r="J15" s="126" t="s">
        <v>103</v>
      </c>
      <c r="K15" s="127">
        <f>SUM(J13,K13)</f>
        <v>225000</v>
      </c>
      <c r="L15" s="127">
        <f>SUM(J13,L13)</f>
        <v>262500</v>
      </c>
      <c r="M15" s="127">
        <f>SUM(J13,M13)</f>
        <v>300000</v>
      </c>
      <c r="N15" s="355"/>
    </row>
    <row r="16" spans="1:14" hidden="1" x14ac:dyDescent="0.25">
      <c r="A16" s="64"/>
      <c r="B16" s="64"/>
      <c r="C16" s="64"/>
      <c r="D16" s="64"/>
      <c r="E16" s="64"/>
      <c r="F16" s="133"/>
      <c r="I16" s="64"/>
      <c r="J16" s="64"/>
      <c r="K16" s="64"/>
      <c r="L16" s="64"/>
      <c r="M16" s="64"/>
      <c r="N16" s="133"/>
    </row>
    <row r="17" spans="1:14" ht="30" x14ac:dyDescent="0.25">
      <c r="A17" s="57" t="s">
        <v>192</v>
      </c>
      <c r="B17" s="71">
        <f>F1*6</f>
        <v>270000</v>
      </c>
      <c r="C17" s="71">
        <v>0</v>
      </c>
      <c r="D17" s="71">
        <v>0</v>
      </c>
      <c r="E17" s="71">
        <v>0</v>
      </c>
      <c r="F17" s="133" t="s">
        <v>232</v>
      </c>
      <c r="I17" s="57" t="s">
        <v>192</v>
      </c>
      <c r="J17" s="71">
        <f>F1*6</f>
        <v>270000</v>
      </c>
      <c r="K17" s="71">
        <v>0</v>
      </c>
      <c r="L17" s="71">
        <v>0</v>
      </c>
      <c r="M17" s="71">
        <v>0</v>
      </c>
      <c r="N17" s="133" t="s">
        <v>353</v>
      </c>
    </row>
    <row r="18" spans="1:14" ht="15" customHeight="1" x14ac:dyDescent="0.25">
      <c r="A18" s="242" t="s">
        <v>347</v>
      </c>
      <c r="B18" s="243">
        <f>D18</f>
        <v>1000000</v>
      </c>
      <c r="C18" s="243">
        <v>800000</v>
      </c>
      <c r="D18" s="243">
        <v>1000000</v>
      </c>
      <c r="E18" s="243">
        <v>1500000</v>
      </c>
      <c r="F18" s="251" t="s">
        <v>359</v>
      </c>
      <c r="I18" s="242" t="s">
        <v>347</v>
      </c>
      <c r="J18" s="243">
        <v>0</v>
      </c>
      <c r="K18" s="243">
        <v>0</v>
      </c>
      <c r="L18" s="243">
        <v>0</v>
      </c>
      <c r="M18" s="243">
        <v>0</v>
      </c>
      <c r="N18" s="251" t="s">
        <v>356</v>
      </c>
    </row>
    <row r="19" spans="1:14" x14ac:dyDescent="0.25">
      <c r="A19" s="57"/>
      <c r="B19" s="71"/>
      <c r="C19" s="71"/>
      <c r="D19" s="71"/>
      <c r="E19" s="71"/>
      <c r="F19" s="133"/>
      <c r="I19" s="57"/>
      <c r="J19" s="71"/>
      <c r="K19" s="71"/>
      <c r="L19" s="71"/>
      <c r="M19" s="71"/>
      <c r="N19" s="133"/>
    </row>
    <row r="20" spans="1:14" x14ac:dyDescent="0.25">
      <c r="A20" s="98" t="s">
        <v>103</v>
      </c>
      <c r="B20" s="153">
        <f>D20</f>
        <v>1270000</v>
      </c>
      <c r="C20" s="92">
        <f t="shared" ref="C20:E20" si="6">$B$17+C18</f>
        <v>1070000</v>
      </c>
      <c r="D20" s="92">
        <f t="shared" si="6"/>
        <v>1270000</v>
      </c>
      <c r="E20" s="92">
        <f t="shared" si="6"/>
        <v>1770000</v>
      </c>
      <c r="F20" s="154" t="s">
        <v>276</v>
      </c>
      <c r="I20" s="98" t="s">
        <v>103</v>
      </c>
      <c r="J20" s="153">
        <f>SUM(J17:J18)</f>
        <v>270000</v>
      </c>
      <c r="K20" s="92">
        <f>J20*0.9</f>
        <v>243000</v>
      </c>
      <c r="L20" s="92">
        <f>J20</f>
        <v>270000</v>
      </c>
      <c r="M20" s="92">
        <f>J20*1.1</f>
        <v>297000</v>
      </c>
      <c r="N20" s="154" t="s">
        <v>354</v>
      </c>
    </row>
    <row r="21" spans="1:14" x14ac:dyDescent="0.25">
      <c r="A21" s="101" t="s">
        <v>270</v>
      </c>
      <c r="B21" s="147">
        <v>0.03</v>
      </c>
      <c r="C21" s="148">
        <v>0.03</v>
      </c>
      <c r="D21" s="148">
        <v>0.03</v>
      </c>
      <c r="E21" s="148">
        <v>0.03</v>
      </c>
      <c r="F21" s="154" t="s">
        <v>271</v>
      </c>
      <c r="I21" s="101" t="s">
        <v>270</v>
      </c>
      <c r="J21" s="147">
        <v>0.03</v>
      </c>
      <c r="K21" s="148">
        <v>0.03</v>
      </c>
      <c r="L21" s="148">
        <v>0.03</v>
      </c>
      <c r="M21" s="148">
        <v>0.03</v>
      </c>
      <c r="N21" s="154" t="s">
        <v>271</v>
      </c>
    </row>
    <row r="22" spans="1:14" x14ac:dyDescent="0.25">
      <c r="A22" s="101" t="s">
        <v>273</v>
      </c>
      <c r="B22" s="149">
        <v>15</v>
      </c>
      <c r="C22" s="150">
        <v>15</v>
      </c>
      <c r="D22" s="150">
        <v>15</v>
      </c>
      <c r="E22" s="150">
        <v>15</v>
      </c>
      <c r="F22" s="154"/>
      <c r="I22" s="101" t="s">
        <v>273</v>
      </c>
      <c r="J22" s="149">
        <v>15</v>
      </c>
      <c r="K22" s="150">
        <v>15</v>
      </c>
      <c r="L22" s="150">
        <v>15</v>
      </c>
      <c r="M22" s="150">
        <v>15</v>
      </c>
      <c r="N22" s="154"/>
    </row>
    <row r="23" spans="1:14" x14ac:dyDescent="0.25">
      <c r="A23" s="101" t="s">
        <v>274</v>
      </c>
      <c r="B23" s="56">
        <f>(((1+B21)^B22)-1)/(B21*(1+B21)^B22)</f>
        <v>11.937935086776077</v>
      </c>
      <c r="C23" s="56">
        <f t="shared" ref="C23:E23" si="7">(((1+C21)^C22)-1)/(C21*(1+C21)^C22)</f>
        <v>11.937935086776077</v>
      </c>
      <c r="D23" s="56">
        <f t="shared" si="7"/>
        <v>11.937935086776077</v>
      </c>
      <c r="E23" s="56">
        <f t="shared" si="7"/>
        <v>11.937935086776077</v>
      </c>
      <c r="F23" s="154"/>
      <c r="I23" s="101" t="s">
        <v>274</v>
      </c>
      <c r="J23" s="56">
        <f>(((1+J21)^J22)-1)/(J21*(1+J21)^J22)</f>
        <v>11.937935086776077</v>
      </c>
      <c r="K23" s="56">
        <f t="shared" ref="K23:M23" si="8">(((1+K21)^K22)-1)/(K21*(1+K21)^K22)</f>
        <v>11.937935086776077</v>
      </c>
      <c r="L23" s="56">
        <f t="shared" si="8"/>
        <v>11.937935086776077</v>
      </c>
      <c r="M23" s="56">
        <f t="shared" si="8"/>
        <v>11.937935086776077</v>
      </c>
      <c r="N23" s="154"/>
    </row>
    <row r="24" spans="1:14" ht="30" x14ac:dyDescent="0.25">
      <c r="A24" s="101" t="s">
        <v>269</v>
      </c>
      <c r="B24" s="91">
        <f t="shared" ref="B24:E24" si="9">B20/B23</f>
        <v>106383.55718710583</v>
      </c>
      <c r="C24" s="92">
        <f t="shared" si="9"/>
        <v>89630.241094648212</v>
      </c>
      <c r="D24" s="92">
        <f t="shared" si="9"/>
        <v>106383.55718710583</v>
      </c>
      <c r="E24" s="92">
        <f t="shared" si="9"/>
        <v>148266.84741824985</v>
      </c>
      <c r="F24" s="154" t="s">
        <v>275</v>
      </c>
      <c r="I24" s="101" t="s">
        <v>269</v>
      </c>
      <c r="J24" s="91">
        <f t="shared" ref="J24:M24" si="10">J20/J23</f>
        <v>22616.976724817774</v>
      </c>
      <c r="K24" s="92">
        <f t="shared" si="10"/>
        <v>20355.279052335998</v>
      </c>
      <c r="L24" s="92">
        <f t="shared" si="10"/>
        <v>22616.976724817774</v>
      </c>
      <c r="M24" s="92">
        <f t="shared" si="10"/>
        <v>24878.67439729955</v>
      </c>
      <c r="N24" s="154" t="s">
        <v>275</v>
      </c>
    </row>
    <row r="25" spans="1:14" x14ac:dyDescent="0.25">
      <c r="A25" s="101"/>
      <c r="B25" s="91"/>
      <c r="C25" s="92"/>
      <c r="D25" s="92"/>
      <c r="E25" s="92"/>
      <c r="F25" s="154"/>
      <c r="I25" s="101"/>
      <c r="J25" s="91"/>
      <c r="K25" s="92"/>
      <c r="L25" s="92"/>
      <c r="M25" s="92"/>
      <c r="N25" s="154"/>
    </row>
    <row r="26" spans="1:14" x14ac:dyDescent="0.25">
      <c r="A26" s="57" t="s">
        <v>211</v>
      </c>
      <c r="B26" s="60"/>
      <c r="C26" s="70"/>
      <c r="D26" s="70"/>
      <c r="E26" s="70"/>
      <c r="F26" s="133"/>
      <c r="I26" s="57" t="s">
        <v>211</v>
      </c>
      <c r="J26" s="60"/>
      <c r="K26" s="70"/>
      <c r="L26" s="70"/>
      <c r="M26" s="70"/>
      <c r="N26" s="133"/>
    </row>
    <row r="27" spans="1:14" s="141" customFormat="1" ht="30" x14ac:dyDescent="0.25">
      <c r="A27" s="139" t="s">
        <v>152</v>
      </c>
      <c r="B27" s="140">
        <f>'Biogas to electricity - Input'!G25</f>
        <v>4665.5973022437283</v>
      </c>
      <c r="C27" s="140">
        <f>B27*0.5</f>
        <v>2332.7986511218642</v>
      </c>
      <c r="D27" s="140">
        <f t="shared" ref="D27:D32" si="11">B27*1</f>
        <v>4665.5973022437283</v>
      </c>
      <c r="E27" s="140">
        <f>B27*2</f>
        <v>9331.1946044874567</v>
      </c>
      <c r="F27" s="252" t="s">
        <v>230</v>
      </c>
      <c r="I27" s="139" t="s">
        <v>152</v>
      </c>
      <c r="J27" s="140">
        <f>'Biogas to electricity - Input'!G25</f>
        <v>4665.5973022437283</v>
      </c>
      <c r="K27" s="140">
        <f>J27*0.5</f>
        <v>2332.7986511218642</v>
      </c>
      <c r="L27" s="140">
        <f t="shared" ref="L27:L32" si="12">J27*1</f>
        <v>4665.5973022437283</v>
      </c>
      <c r="M27" s="140">
        <f>J27*2</f>
        <v>9331.1946044874567</v>
      </c>
      <c r="N27" s="252" t="s">
        <v>230</v>
      </c>
    </row>
    <row r="28" spans="1:14" x14ac:dyDescent="0.25">
      <c r="A28" s="85" t="s">
        <v>153</v>
      </c>
      <c r="B28" s="70">
        <f>0.32*6*24*7*32*0.0782</f>
        <v>807.17414400000007</v>
      </c>
      <c r="C28" s="70">
        <f>B28*0.9</f>
        <v>726.45672960000013</v>
      </c>
      <c r="D28" s="70">
        <f t="shared" si="11"/>
        <v>807.17414400000007</v>
      </c>
      <c r="E28" s="70">
        <f>B28*1.1</f>
        <v>887.89155840000012</v>
      </c>
      <c r="F28" s="253" t="s">
        <v>231</v>
      </c>
      <c r="I28" s="85" t="s">
        <v>153</v>
      </c>
      <c r="J28" s="70">
        <f>0.32*6*24*7*32*0.0782</f>
        <v>807.17414400000007</v>
      </c>
      <c r="K28" s="70">
        <f>J28*0.9</f>
        <v>726.45672960000013</v>
      </c>
      <c r="L28" s="70">
        <f t="shared" si="12"/>
        <v>807.17414400000007</v>
      </c>
      <c r="M28" s="70">
        <f>J28*1.1</f>
        <v>887.89155840000012</v>
      </c>
      <c r="N28" s="253" t="s">
        <v>231</v>
      </c>
    </row>
    <row r="29" spans="1:14" ht="30" x14ac:dyDescent="0.25">
      <c r="A29" s="244" t="s">
        <v>154</v>
      </c>
      <c r="B29" s="245">
        <f>(('Food waste'!H18*32))*25/1000</f>
        <v>7200</v>
      </c>
      <c r="C29" s="245">
        <f>B29*0.9</f>
        <v>6480</v>
      </c>
      <c r="D29" s="245">
        <f t="shared" ref="D29" si="13">B29*1</f>
        <v>7200</v>
      </c>
      <c r="E29" s="245">
        <f>B29*1.1</f>
        <v>7920.0000000000009</v>
      </c>
      <c r="F29" s="246" t="s">
        <v>351</v>
      </c>
      <c r="I29" s="244" t="s">
        <v>154</v>
      </c>
      <c r="J29" s="245">
        <f>(('Food waste'!H18*32))*25/1000</f>
        <v>7200</v>
      </c>
      <c r="K29" s="245">
        <f>J29*0.9</f>
        <v>6480</v>
      </c>
      <c r="L29" s="245">
        <f t="shared" si="12"/>
        <v>7200</v>
      </c>
      <c r="M29" s="245">
        <f>J29*1.1</f>
        <v>7920.0000000000009</v>
      </c>
      <c r="N29" s="246" t="s">
        <v>351</v>
      </c>
    </row>
    <row r="30" spans="1:14" ht="30" x14ac:dyDescent="0.25">
      <c r="A30" s="85" t="s">
        <v>155</v>
      </c>
      <c r="B30" s="70">
        <f>'Food waste'!H18*32*4.18/1000</f>
        <v>1203.8399999999999</v>
      </c>
      <c r="C30" s="70">
        <f>B30*0.9</f>
        <v>1083.4559999999999</v>
      </c>
      <c r="D30" s="70">
        <f t="shared" si="11"/>
        <v>1203.8399999999999</v>
      </c>
      <c r="E30" s="70">
        <f>B30*1.1</f>
        <v>1324.2239999999999</v>
      </c>
      <c r="F30" s="134" t="s">
        <v>236</v>
      </c>
      <c r="I30" s="85" t="s">
        <v>155</v>
      </c>
      <c r="J30" s="70">
        <f>'Food waste'!H18*32*4.18/1000</f>
        <v>1203.8399999999999</v>
      </c>
      <c r="K30" s="70">
        <f>J30*0.9</f>
        <v>1083.4559999999999</v>
      </c>
      <c r="L30" s="70">
        <f t="shared" si="12"/>
        <v>1203.8399999999999</v>
      </c>
      <c r="M30" s="70">
        <f>J30*1.1</f>
        <v>1324.2239999999999</v>
      </c>
      <c r="N30" s="134" t="s">
        <v>236</v>
      </c>
    </row>
    <row r="31" spans="1:14" x14ac:dyDescent="0.25">
      <c r="A31" s="85" t="s">
        <v>156</v>
      </c>
      <c r="B31" s="70">
        <f>20*1250</f>
        <v>25000</v>
      </c>
      <c r="C31" s="70">
        <f>B31*0.9</f>
        <v>22500</v>
      </c>
      <c r="D31" s="70">
        <f t="shared" si="11"/>
        <v>25000</v>
      </c>
      <c r="E31" s="70">
        <f>D31*1.1</f>
        <v>27500.000000000004</v>
      </c>
      <c r="F31" s="253" t="s">
        <v>229</v>
      </c>
      <c r="I31" s="85" t="s">
        <v>156</v>
      </c>
      <c r="J31" s="70">
        <f>20*1250</f>
        <v>25000</v>
      </c>
      <c r="K31" s="70">
        <f>J31*0.9</f>
        <v>22500</v>
      </c>
      <c r="L31" s="70">
        <f t="shared" si="12"/>
        <v>25000</v>
      </c>
      <c r="M31" s="70">
        <f>L31*1.1</f>
        <v>27500.000000000004</v>
      </c>
      <c r="N31" s="253" t="s">
        <v>229</v>
      </c>
    </row>
    <row r="32" spans="1:14" x14ac:dyDescent="0.25">
      <c r="A32" s="85" t="s">
        <v>7</v>
      </c>
      <c r="B32" s="70">
        <f>'Food waste'!B8*6</f>
        <v>15000</v>
      </c>
      <c r="C32" s="70">
        <f>B32*0.9</f>
        <v>13500</v>
      </c>
      <c r="D32" s="70">
        <f t="shared" si="11"/>
        <v>15000</v>
      </c>
      <c r="E32" s="70">
        <f>D32*1.1</f>
        <v>16500</v>
      </c>
      <c r="F32" s="134" t="s">
        <v>237</v>
      </c>
      <c r="I32" s="85" t="s">
        <v>7</v>
      </c>
      <c r="J32" s="70">
        <f>'Food waste'!B8*6</f>
        <v>15000</v>
      </c>
      <c r="K32" s="70">
        <f>J32*0.9</f>
        <v>13500</v>
      </c>
      <c r="L32" s="70">
        <f t="shared" si="12"/>
        <v>15000</v>
      </c>
      <c r="M32" s="70">
        <f>L32*1.1</f>
        <v>16500</v>
      </c>
      <c r="N32" s="134" t="s">
        <v>237</v>
      </c>
    </row>
    <row r="33" spans="1:14" x14ac:dyDescent="0.25">
      <c r="A33" s="85" t="s">
        <v>214</v>
      </c>
      <c r="B33" s="132">
        <f>SUM(B27:B32)</f>
        <v>53876.611446243725</v>
      </c>
      <c r="C33" s="132">
        <f>SUM(C27:C32)</f>
        <v>46622.711380721863</v>
      </c>
      <c r="D33" s="132">
        <f>SUM(D27:D32)</f>
        <v>53876.611446243725</v>
      </c>
      <c r="E33" s="132">
        <f>SUM(E27:E32)</f>
        <v>63463.310162887457</v>
      </c>
      <c r="F33" s="133"/>
      <c r="I33" s="85" t="s">
        <v>214</v>
      </c>
      <c r="J33" s="132">
        <f>SUM(J27:J32)</f>
        <v>53876.611446243725</v>
      </c>
      <c r="K33" s="132">
        <f>SUM(K27:K32)</f>
        <v>46622.711380721863</v>
      </c>
      <c r="L33" s="132">
        <f>SUM(L27:L32)</f>
        <v>53876.611446243725</v>
      </c>
      <c r="M33" s="132">
        <f>SUM(M27:M32)</f>
        <v>63463.310162887457</v>
      </c>
      <c r="N33" s="133"/>
    </row>
    <row r="34" spans="1:14" x14ac:dyDescent="0.25">
      <c r="A34" s="72" t="s">
        <v>212</v>
      </c>
      <c r="B34" s="132">
        <f>B24+B33</f>
        <v>160260.16863334956</v>
      </c>
      <c r="C34" s="132">
        <f>C24+C33</f>
        <v>136252.95247537008</v>
      </c>
      <c r="D34" s="132">
        <f>D24+D33</f>
        <v>160260.16863334956</v>
      </c>
      <c r="E34" s="132">
        <f>E24+E33</f>
        <v>211730.15758113732</v>
      </c>
      <c r="F34" s="254" t="s">
        <v>213</v>
      </c>
      <c r="I34" s="72" t="s">
        <v>212</v>
      </c>
      <c r="J34" s="132">
        <f>J24+J33</f>
        <v>76493.588171061507</v>
      </c>
      <c r="K34" s="132">
        <f>K24+K33</f>
        <v>66977.990433057857</v>
      </c>
      <c r="L34" s="132">
        <f>L24+L33</f>
        <v>76493.588171061507</v>
      </c>
      <c r="M34" s="132">
        <f>M24+M33</f>
        <v>88341.984560187004</v>
      </c>
      <c r="N34" s="254" t="s">
        <v>213</v>
      </c>
    </row>
    <row r="37" spans="1:14" x14ac:dyDescent="0.25">
      <c r="A37" s="352" t="s">
        <v>157</v>
      </c>
      <c r="B37" s="352"/>
      <c r="C37" s="352"/>
      <c r="D37" s="352"/>
      <c r="E37" s="352"/>
      <c r="F37" s="133"/>
      <c r="I37" s="352" t="s">
        <v>157</v>
      </c>
      <c r="J37" s="352"/>
      <c r="K37" s="352"/>
      <c r="L37" s="352"/>
      <c r="M37" s="352"/>
      <c r="N37" s="133"/>
    </row>
    <row r="38" spans="1:14" ht="21" x14ac:dyDescent="0.25">
      <c r="A38" s="125"/>
      <c r="B38" s="60" t="s">
        <v>144</v>
      </c>
      <c r="C38" s="357" t="s">
        <v>145</v>
      </c>
      <c r="D38" s="358"/>
      <c r="E38" s="359"/>
      <c r="F38" s="137"/>
      <c r="I38" s="125"/>
      <c r="J38" s="60" t="s">
        <v>144</v>
      </c>
      <c r="K38" s="357" t="s">
        <v>145</v>
      </c>
      <c r="L38" s="358"/>
      <c r="M38" s="359"/>
      <c r="N38" s="137"/>
    </row>
    <row r="39" spans="1:14" ht="15" hidden="1" customHeight="1" x14ac:dyDescent="0.25">
      <c r="A39" s="125" t="s">
        <v>87</v>
      </c>
      <c r="B39" s="127">
        <v>20000</v>
      </c>
      <c r="C39" s="127">
        <f>B39*0.5</f>
        <v>10000</v>
      </c>
      <c r="D39" s="127">
        <f>B39*0.75</f>
        <v>15000</v>
      </c>
      <c r="E39" s="127">
        <f>B39*1</f>
        <v>20000</v>
      </c>
      <c r="F39" s="353" t="s">
        <v>228</v>
      </c>
      <c r="I39" s="125" t="s">
        <v>87</v>
      </c>
      <c r="J39" s="127">
        <v>20000</v>
      </c>
      <c r="K39" s="127">
        <f>J39*0.5</f>
        <v>10000</v>
      </c>
      <c r="L39" s="127">
        <f>J39*0.75</f>
        <v>15000</v>
      </c>
      <c r="M39" s="127">
        <f>J39*1</f>
        <v>20000</v>
      </c>
      <c r="N39" s="353" t="s">
        <v>228</v>
      </c>
    </row>
    <row r="40" spans="1:14" ht="15" hidden="1" customHeight="1" x14ac:dyDescent="0.25">
      <c r="A40" s="128" t="s">
        <v>103</v>
      </c>
      <c r="B40" s="127">
        <f>SUM(B39:B39)</f>
        <v>20000</v>
      </c>
      <c r="C40" s="127">
        <f>SUM(C39:C39)</f>
        <v>10000</v>
      </c>
      <c r="D40" s="127">
        <f>SUM(D39:D39)</f>
        <v>15000</v>
      </c>
      <c r="E40" s="127">
        <f>SUM(E39:E39)</f>
        <v>20000</v>
      </c>
      <c r="F40" s="354"/>
      <c r="I40" s="128" t="s">
        <v>103</v>
      </c>
      <c r="J40" s="127">
        <f>SUM(J39:J39)</f>
        <v>20000</v>
      </c>
      <c r="K40" s="127">
        <f>SUM(K39:K39)</f>
        <v>10000</v>
      </c>
      <c r="L40" s="127">
        <f>SUM(L39:L39)</f>
        <v>15000</v>
      </c>
      <c r="M40" s="127">
        <f>SUM(M39:M39)</f>
        <v>20000</v>
      </c>
      <c r="N40" s="354"/>
    </row>
    <row r="41" spans="1:14" ht="15" hidden="1" customHeight="1" x14ac:dyDescent="0.25">
      <c r="A41" s="125"/>
      <c r="B41" s="127"/>
      <c r="C41" s="129" t="s">
        <v>151</v>
      </c>
      <c r="D41" s="129"/>
      <c r="E41" s="129"/>
      <c r="F41" s="354"/>
      <c r="I41" s="125"/>
      <c r="J41" s="127"/>
      <c r="K41" s="129" t="s">
        <v>151</v>
      </c>
      <c r="L41" s="129"/>
      <c r="M41" s="129"/>
      <c r="N41" s="354"/>
    </row>
    <row r="42" spans="1:14" ht="15" hidden="1" customHeight="1" x14ac:dyDescent="0.25">
      <c r="A42" s="125"/>
      <c r="B42" s="126" t="s">
        <v>103</v>
      </c>
      <c r="C42" s="127">
        <f>SUM(B40,C40)</f>
        <v>30000</v>
      </c>
      <c r="D42" s="127">
        <f>SUM(B40,D40)</f>
        <v>35000</v>
      </c>
      <c r="E42" s="127">
        <f>SUM(B40,E40)</f>
        <v>40000</v>
      </c>
      <c r="F42" s="355"/>
      <c r="I42" s="125"/>
      <c r="J42" s="126" t="s">
        <v>103</v>
      </c>
      <c r="K42" s="127">
        <f>SUM(J40,K40)</f>
        <v>30000</v>
      </c>
      <c r="L42" s="127">
        <f>SUM(J40,L40)</f>
        <v>35000</v>
      </c>
      <c r="M42" s="127">
        <f>SUM(J40,M40)</f>
        <v>40000</v>
      </c>
      <c r="N42" s="355"/>
    </row>
    <row r="43" spans="1:14" x14ac:dyDescent="0.25">
      <c r="A43" s="57"/>
      <c r="B43" s="60"/>
      <c r="C43" s="70"/>
      <c r="D43" s="70"/>
      <c r="E43" s="70"/>
      <c r="F43" s="133"/>
      <c r="I43" s="57"/>
      <c r="J43" s="60"/>
      <c r="K43" s="70"/>
      <c r="L43" s="70"/>
      <c r="M43" s="70"/>
      <c r="N43" s="133"/>
    </row>
    <row r="44" spans="1:14" x14ac:dyDescent="0.25">
      <c r="A44" s="57" t="s">
        <v>192</v>
      </c>
      <c r="B44" s="60">
        <f>F1</f>
        <v>45000</v>
      </c>
      <c r="C44" s="70">
        <v>0</v>
      </c>
      <c r="D44" s="70">
        <v>0</v>
      </c>
      <c r="E44" s="70">
        <v>0</v>
      </c>
      <c r="F44" s="133" t="s">
        <v>233</v>
      </c>
      <c r="I44" s="57" t="s">
        <v>192</v>
      </c>
      <c r="J44" s="60">
        <f>F1</f>
        <v>45000</v>
      </c>
      <c r="K44" s="70">
        <v>0</v>
      </c>
      <c r="L44" s="70">
        <v>0</v>
      </c>
      <c r="M44" s="70">
        <v>0</v>
      </c>
      <c r="N44" s="133" t="s">
        <v>233</v>
      </c>
    </row>
    <row r="45" spans="1:14" x14ac:dyDescent="0.25">
      <c r="A45" s="242" t="s">
        <v>347</v>
      </c>
      <c r="B45" s="269">
        <f>D45</f>
        <v>132933.5897725987</v>
      </c>
      <c r="C45" s="243">
        <f>C18*('Food waste'!$B$16/'Food waste'!$B$18)</f>
        <v>106346.87181807896</v>
      </c>
      <c r="D45" s="243">
        <f>D18*('Food waste'!$B$16/'Food waste'!$B$18)</f>
        <v>132933.5897725987</v>
      </c>
      <c r="E45" s="243">
        <f>E18*('Food waste'!$B$16/'Food waste'!$B$18)</f>
        <v>199400.38465889805</v>
      </c>
      <c r="F45" s="251" t="s">
        <v>360</v>
      </c>
      <c r="I45" s="242" t="s">
        <v>347</v>
      </c>
      <c r="J45" s="269">
        <v>0</v>
      </c>
      <c r="K45" s="243">
        <v>0</v>
      </c>
      <c r="L45" s="243">
        <v>0</v>
      </c>
      <c r="M45" s="243">
        <v>0</v>
      </c>
      <c r="N45" s="251" t="s">
        <v>356</v>
      </c>
    </row>
    <row r="46" spans="1:14" x14ac:dyDescent="0.25">
      <c r="A46" s="57"/>
      <c r="B46" s="70"/>
      <c r="C46" s="70"/>
      <c r="D46" s="70"/>
      <c r="E46" s="70"/>
      <c r="F46" s="133"/>
      <c r="I46" s="57"/>
      <c r="J46" s="70"/>
      <c r="K46" s="70"/>
      <c r="L46" s="70"/>
      <c r="M46" s="70"/>
      <c r="N46" s="133"/>
    </row>
    <row r="47" spans="1:14" x14ac:dyDescent="0.25">
      <c r="A47" s="98" t="s">
        <v>103</v>
      </c>
      <c r="B47" s="153">
        <f>D47</f>
        <v>402933.5897725987</v>
      </c>
      <c r="C47" s="92">
        <f t="shared" ref="C47:E47" si="14">$B$17+C45</f>
        <v>376346.87181807897</v>
      </c>
      <c r="D47" s="92">
        <f t="shared" si="14"/>
        <v>402933.5897725987</v>
      </c>
      <c r="E47" s="92">
        <f t="shared" si="14"/>
        <v>469400.38465889805</v>
      </c>
      <c r="F47" s="154" t="s">
        <v>276</v>
      </c>
      <c r="I47" s="98" t="s">
        <v>103</v>
      </c>
      <c r="J47" s="153">
        <f>L47</f>
        <v>45000</v>
      </c>
      <c r="K47" s="92">
        <f>J44*0.9</f>
        <v>40500</v>
      </c>
      <c r="L47" s="92">
        <f>SUM(J44,L44)</f>
        <v>45000</v>
      </c>
      <c r="M47" s="92">
        <f>J44*1.1</f>
        <v>49500.000000000007</v>
      </c>
      <c r="N47" s="154" t="s">
        <v>276</v>
      </c>
    </row>
    <row r="48" spans="1:14" x14ac:dyDescent="0.25">
      <c r="A48" s="101" t="s">
        <v>270</v>
      </c>
      <c r="B48" s="147">
        <v>0.03</v>
      </c>
      <c r="C48" s="148">
        <v>0.03</v>
      </c>
      <c r="D48" s="148">
        <v>0.03</v>
      </c>
      <c r="E48" s="148">
        <v>0.03</v>
      </c>
      <c r="F48" s="154" t="s">
        <v>271</v>
      </c>
      <c r="I48" s="101" t="s">
        <v>270</v>
      </c>
      <c r="J48" s="147">
        <v>0.03</v>
      </c>
      <c r="K48" s="148">
        <v>0.03</v>
      </c>
      <c r="L48" s="148">
        <v>0.03</v>
      </c>
      <c r="M48" s="148">
        <v>0.03</v>
      </c>
      <c r="N48" s="154" t="s">
        <v>271</v>
      </c>
    </row>
    <row r="49" spans="1:14" x14ac:dyDescent="0.25">
      <c r="A49" s="101" t="s">
        <v>273</v>
      </c>
      <c r="B49" s="149">
        <v>15</v>
      </c>
      <c r="C49" s="150">
        <v>15</v>
      </c>
      <c r="D49" s="150">
        <v>15</v>
      </c>
      <c r="E49" s="150">
        <v>15</v>
      </c>
      <c r="F49" s="154"/>
      <c r="I49" s="101" t="s">
        <v>273</v>
      </c>
      <c r="J49" s="149">
        <v>15</v>
      </c>
      <c r="K49" s="150">
        <v>15</v>
      </c>
      <c r="L49" s="150">
        <v>15</v>
      </c>
      <c r="M49" s="150">
        <v>15</v>
      </c>
      <c r="N49" s="154"/>
    </row>
    <row r="50" spans="1:14" x14ac:dyDescent="0.25">
      <c r="A50" s="101" t="s">
        <v>274</v>
      </c>
      <c r="B50" s="160">
        <f>(((1+B48)^B49)-1)/(B48*(1+B48)^B49)</f>
        <v>11.937935086776077</v>
      </c>
      <c r="C50" s="160">
        <f t="shared" ref="C50" si="15">(((1+C48)^C49)-1)/(C48*(1+C48)^C49)</f>
        <v>11.937935086776077</v>
      </c>
      <c r="D50" s="160">
        <f t="shared" ref="D50" si="16">(((1+D48)^D49)-1)/(D48*(1+D48)^D49)</f>
        <v>11.937935086776077</v>
      </c>
      <c r="E50" s="160">
        <f t="shared" ref="E50" si="17">(((1+E48)^E49)-1)/(E48*(1+E48)^E49)</f>
        <v>11.937935086776077</v>
      </c>
      <c r="F50" s="154"/>
      <c r="I50" s="101" t="s">
        <v>274</v>
      </c>
      <c r="J50" s="160">
        <f>(((1+J48)^J49)-1)/(J48*(1+J48)^J49)</f>
        <v>11.937935086776077</v>
      </c>
      <c r="K50" s="160">
        <f t="shared" ref="K50:M50" si="18">(((1+K48)^K49)-1)/(K48*(1+K48)^K49)</f>
        <v>11.937935086776077</v>
      </c>
      <c r="L50" s="160">
        <f t="shared" si="18"/>
        <v>11.937935086776077</v>
      </c>
      <c r="M50" s="160">
        <f t="shared" si="18"/>
        <v>11.937935086776077</v>
      </c>
      <c r="N50" s="154"/>
    </row>
    <row r="51" spans="1:14" ht="30" x14ac:dyDescent="0.25">
      <c r="A51" s="101" t="s">
        <v>269</v>
      </c>
      <c r="B51" s="91">
        <f t="shared" ref="B51" si="19">B47/B50</f>
        <v>33752.368968644958</v>
      </c>
      <c r="C51" s="92">
        <f t="shared" ref="C51" si="20">C47/C50</f>
        <v>31525.29051987952</v>
      </c>
      <c r="D51" s="92">
        <f t="shared" ref="D51" si="21">D47/D50</f>
        <v>33752.368968644958</v>
      </c>
      <c r="E51" s="92">
        <f t="shared" ref="E51" si="22">E47/E50</f>
        <v>39320.06509055855</v>
      </c>
      <c r="F51" s="154" t="s">
        <v>275</v>
      </c>
      <c r="I51" s="101" t="s">
        <v>269</v>
      </c>
      <c r="J51" s="91">
        <f t="shared" ref="J51:M51" si="23">J47/J50</f>
        <v>3769.4961208029622</v>
      </c>
      <c r="K51" s="92">
        <f t="shared" si="23"/>
        <v>3392.5465087226662</v>
      </c>
      <c r="L51" s="92">
        <f t="shared" si="23"/>
        <v>3769.4961208029622</v>
      </c>
      <c r="M51" s="92">
        <f t="shared" si="23"/>
        <v>4146.4457328832596</v>
      </c>
      <c r="N51" s="154" t="s">
        <v>275</v>
      </c>
    </row>
    <row r="52" spans="1:14" x14ac:dyDescent="0.25">
      <c r="A52" s="101"/>
      <c r="B52" s="91"/>
      <c r="C52" s="92"/>
      <c r="D52" s="92"/>
      <c r="E52" s="92"/>
      <c r="F52" s="154"/>
      <c r="I52" s="101"/>
      <c r="J52" s="91"/>
      <c r="K52" s="92"/>
      <c r="L52" s="92"/>
      <c r="M52" s="92"/>
      <c r="N52" s="154"/>
    </row>
    <row r="53" spans="1:14" x14ac:dyDescent="0.25">
      <c r="A53" s="57" t="s">
        <v>211</v>
      </c>
      <c r="B53" s="70"/>
      <c r="C53" s="70"/>
      <c r="D53" s="70"/>
      <c r="E53" s="70"/>
      <c r="F53" s="133"/>
      <c r="I53" s="57" t="s">
        <v>211</v>
      </c>
      <c r="J53" s="70"/>
      <c r="K53" s="70"/>
      <c r="L53" s="70"/>
      <c r="M53" s="70"/>
      <c r="N53" s="133"/>
    </row>
    <row r="54" spans="1:14" ht="30" x14ac:dyDescent="0.25">
      <c r="A54" s="85" t="s">
        <v>152</v>
      </c>
      <c r="B54" s="70">
        <f>B27*(1.6/12)</f>
        <v>622.07964029916377</v>
      </c>
      <c r="C54" s="140">
        <f>B54*0.5</f>
        <v>311.03982014958189</v>
      </c>
      <c r="D54" s="140">
        <f t="shared" ref="D54:D59" si="24">B54*1</f>
        <v>622.07964029916377</v>
      </c>
      <c r="E54" s="140">
        <f>B54*2</f>
        <v>1244.1592805983275</v>
      </c>
      <c r="F54" s="253" t="s">
        <v>230</v>
      </c>
      <c r="I54" s="85" t="s">
        <v>152</v>
      </c>
      <c r="J54" s="70">
        <f>J27*(1.6/12)</f>
        <v>622.07964029916377</v>
      </c>
      <c r="K54" s="140">
        <f>J54*0.5</f>
        <v>311.03982014958189</v>
      </c>
      <c r="L54" s="140">
        <f t="shared" ref="L54:L59" si="25">J54*1</f>
        <v>622.07964029916377</v>
      </c>
      <c r="M54" s="140">
        <f>J54*2</f>
        <v>1244.1592805983275</v>
      </c>
      <c r="N54" s="253" t="s">
        <v>230</v>
      </c>
    </row>
    <row r="55" spans="1:14" x14ac:dyDescent="0.25">
      <c r="A55" s="85" t="s">
        <v>153</v>
      </c>
      <c r="B55" s="70">
        <f>0.32*6*24*7*32*0.0782/6</f>
        <v>134.52902400000002</v>
      </c>
      <c r="C55" s="70">
        <f>B55*0.9</f>
        <v>121.07612160000002</v>
      </c>
      <c r="D55" s="70">
        <f t="shared" si="24"/>
        <v>134.52902400000002</v>
      </c>
      <c r="E55" s="70">
        <f>B55*1.1</f>
        <v>147.98192640000005</v>
      </c>
      <c r="F55" s="253" t="s">
        <v>231</v>
      </c>
      <c r="I55" s="85" t="s">
        <v>153</v>
      </c>
      <c r="J55" s="70">
        <f>0.32*6*24*7*32*0.0782/6</f>
        <v>134.52902400000002</v>
      </c>
      <c r="K55" s="70">
        <f>J55*0.9</f>
        <v>121.07612160000002</v>
      </c>
      <c r="L55" s="70">
        <f t="shared" si="25"/>
        <v>134.52902400000002</v>
      </c>
      <c r="M55" s="70">
        <f>J55*1.1</f>
        <v>147.98192640000005</v>
      </c>
      <c r="N55" s="253" t="s">
        <v>231</v>
      </c>
    </row>
    <row r="56" spans="1:14" ht="30" x14ac:dyDescent="0.25">
      <c r="A56" s="244" t="s">
        <v>154</v>
      </c>
      <c r="B56" s="245">
        <f>B29*('Food waste'!$D$16/'Food waste'!$D$11)</f>
        <v>957.12184636271058</v>
      </c>
      <c r="C56" s="245">
        <f>B56*0.9</f>
        <v>861.40966172643959</v>
      </c>
      <c r="D56" s="245">
        <f t="shared" si="24"/>
        <v>957.12184636271058</v>
      </c>
      <c r="E56" s="245">
        <f>B56*1.1</f>
        <v>1052.8340309989817</v>
      </c>
      <c r="F56" s="251" t="s">
        <v>357</v>
      </c>
      <c r="I56" s="244" t="s">
        <v>154</v>
      </c>
      <c r="J56" s="245">
        <f>J29*('Food waste'!$D$16/'Food waste'!$D$11)</f>
        <v>957.12184636271058</v>
      </c>
      <c r="K56" s="245">
        <f>J56*0.9</f>
        <v>861.40966172643959</v>
      </c>
      <c r="L56" s="245">
        <f t="shared" si="25"/>
        <v>957.12184636271058</v>
      </c>
      <c r="M56" s="245">
        <f>J56*1.1</f>
        <v>1052.8340309989817</v>
      </c>
      <c r="N56" s="251" t="s">
        <v>357</v>
      </c>
    </row>
    <row r="57" spans="1:14" ht="30" x14ac:dyDescent="0.25">
      <c r="A57" s="85" t="s">
        <v>155</v>
      </c>
      <c r="B57" s="70">
        <f>B30*('Food waste'!$D$16/'Food waste'!$D$11)</f>
        <v>160.0307727118452</v>
      </c>
      <c r="C57" s="70">
        <f>B57*0.9</f>
        <v>144.02769544066069</v>
      </c>
      <c r="D57" s="70">
        <f t="shared" si="24"/>
        <v>160.0307727118452</v>
      </c>
      <c r="E57" s="70">
        <f>B57*1.1</f>
        <v>176.03384998302974</v>
      </c>
      <c r="F57" s="133" t="s">
        <v>235</v>
      </c>
      <c r="I57" s="85" t="s">
        <v>155</v>
      </c>
      <c r="J57" s="70">
        <f>J30*('Food waste'!$D$16/'Food waste'!$D$11)</f>
        <v>160.0307727118452</v>
      </c>
      <c r="K57" s="70">
        <f>J57*0.9</f>
        <v>144.02769544066069</v>
      </c>
      <c r="L57" s="70">
        <f t="shared" si="25"/>
        <v>160.0307727118452</v>
      </c>
      <c r="M57" s="70">
        <f>J57*1.1</f>
        <v>176.03384998302974</v>
      </c>
      <c r="N57" s="133" t="s">
        <v>235</v>
      </c>
    </row>
    <row r="58" spans="1:14" x14ac:dyDescent="0.25">
      <c r="A58" s="85" t="s">
        <v>156</v>
      </c>
      <c r="B58" s="70">
        <f>20*1250*(9571/72000)</f>
        <v>3323.2638888888887</v>
      </c>
      <c r="C58" s="70">
        <f>B58*0.9</f>
        <v>2990.9375</v>
      </c>
      <c r="D58" s="70">
        <f t="shared" si="24"/>
        <v>3323.2638888888887</v>
      </c>
      <c r="E58" s="70">
        <f>D58*1.1</f>
        <v>3655.5902777777778</v>
      </c>
      <c r="F58" s="253" t="s">
        <v>234</v>
      </c>
      <c r="I58" s="85" t="s">
        <v>156</v>
      </c>
      <c r="J58" s="70">
        <f>20*1250*(9571/72000)</f>
        <v>3323.2638888888887</v>
      </c>
      <c r="K58" s="70">
        <f>J58*0.9</f>
        <v>2990.9375</v>
      </c>
      <c r="L58" s="70">
        <f t="shared" si="25"/>
        <v>3323.2638888888887</v>
      </c>
      <c r="M58" s="70">
        <f>L58*1.1</f>
        <v>3655.5902777777778</v>
      </c>
      <c r="N58" s="253" t="s">
        <v>234</v>
      </c>
    </row>
    <row r="59" spans="1:14" x14ac:dyDescent="0.25">
      <c r="A59" s="85" t="s">
        <v>7</v>
      </c>
      <c r="B59" s="70">
        <f>'Food waste'!B8</f>
        <v>2500</v>
      </c>
      <c r="C59" s="70">
        <f>B59*0.9</f>
        <v>2250</v>
      </c>
      <c r="D59" s="70">
        <f t="shared" si="24"/>
        <v>2500</v>
      </c>
      <c r="E59" s="70">
        <f>D59*1.1</f>
        <v>2750</v>
      </c>
      <c r="F59" s="133" t="s">
        <v>189</v>
      </c>
      <c r="I59" s="85" t="s">
        <v>7</v>
      </c>
      <c r="J59" s="70">
        <f>B59</f>
        <v>2500</v>
      </c>
      <c r="K59" s="70">
        <f>J59*0.9</f>
        <v>2250</v>
      </c>
      <c r="L59" s="70">
        <f t="shared" si="25"/>
        <v>2500</v>
      </c>
      <c r="M59" s="70">
        <f>L59*1.1</f>
        <v>2750</v>
      </c>
      <c r="N59" s="133" t="s">
        <v>189</v>
      </c>
    </row>
    <row r="60" spans="1:14" x14ac:dyDescent="0.25">
      <c r="A60" s="85" t="s">
        <v>214</v>
      </c>
      <c r="B60" s="70">
        <f>SUM(B54:B59)</f>
        <v>7697.0251722626081</v>
      </c>
      <c r="C60" s="70">
        <f>SUM(C54:C59)</f>
        <v>6678.4907989166823</v>
      </c>
      <c r="D60" s="70">
        <f>SUM(D54:D59)</f>
        <v>7697.0251722626081</v>
      </c>
      <c r="E60" s="70">
        <f>SUM(E54:E59)</f>
        <v>9026.5993657581166</v>
      </c>
      <c r="F60" s="133"/>
      <c r="I60" s="85" t="s">
        <v>214</v>
      </c>
      <c r="J60" s="70">
        <f>SUM(J54:J59)</f>
        <v>7697.0251722626081</v>
      </c>
      <c r="K60" s="70">
        <f>SUM(K54:K59)</f>
        <v>6678.4907989166823</v>
      </c>
      <c r="L60" s="70">
        <f>SUM(L54:L59)</f>
        <v>7697.0251722626081</v>
      </c>
      <c r="M60" s="70">
        <f>SUM(M54:M59)</f>
        <v>9026.5993657581166</v>
      </c>
      <c r="N60" s="133"/>
    </row>
    <row r="61" spans="1:14" x14ac:dyDescent="0.25">
      <c r="A61" s="72" t="s">
        <v>212</v>
      </c>
      <c r="B61" s="132">
        <f>B51+B60</f>
        <v>41449.394140907563</v>
      </c>
      <c r="C61" s="132">
        <f>C51+C60</f>
        <v>38203.781318796202</v>
      </c>
      <c r="D61" s="132">
        <f>D51+D60</f>
        <v>41449.394140907563</v>
      </c>
      <c r="E61" s="132">
        <f>E51+E60</f>
        <v>48346.664456316663</v>
      </c>
      <c r="F61" s="254" t="s">
        <v>213</v>
      </c>
      <c r="I61" s="72" t="s">
        <v>212</v>
      </c>
      <c r="J61" s="132">
        <f>J51+J60</f>
        <v>11466.521293065571</v>
      </c>
      <c r="K61" s="132">
        <f>K51+K60</f>
        <v>10071.037307639348</v>
      </c>
      <c r="L61" s="132">
        <f>L51+L60</f>
        <v>11466.521293065571</v>
      </c>
      <c r="M61" s="132">
        <f>M51+M60</f>
        <v>13173.045098641376</v>
      </c>
      <c r="N61" s="254" t="s">
        <v>213</v>
      </c>
    </row>
  </sheetData>
  <mergeCells count="15">
    <mergeCell ref="F39:F42"/>
    <mergeCell ref="C38:E38"/>
    <mergeCell ref="A37:E37"/>
    <mergeCell ref="A1:A2"/>
    <mergeCell ref="B1:E2"/>
    <mergeCell ref="F1:F2"/>
    <mergeCell ref="A4:E4"/>
    <mergeCell ref="C5:E5"/>
    <mergeCell ref="F7:F15"/>
    <mergeCell ref="N39:N42"/>
    <mergeCell ref="I4:M4"/>
    <mergeCell ref="K5:M5"/>
    <mergeCell ref="N7:N15"/>
    <mergeCell ref="I37:M37"/>
    <mergeCell ref="K38:M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5"/>
  <sheetViews>
    <sheetView zoomScaleNormal="100" workbookViewId="0">
      <selection activeCell="B22" sqref="B22:E22"/>
    </sheetView>
  </sheetViews>
  <sheetFormatPr defaultRowHeight="15" x14ac:dyDescent="0.25"/>
  <cols>
    <col min="1" max="1" width="38.140625" style="86" bestFit="1" customWidth="1"/>
    <col min="2" max="2" width="14.85546875" style="82" bestFit="1" customWidth="1"/>
    <col min="3" max="3" width="19" style="82" bestFit="1" customWidth="1"/>
    <col min="4" max="5" width="12.5703125" style="82" bestFit="1" customWidth="1"/>
    <col min="6" max="6" width="87.85546875" style="82" bestFit="1" customWidth="1"/>
    <col min="7" max="9" width="9.140625" style="82"/>
    <col min="10" max="10" width="11" style="82" bestFit="1" customWidth="1"/>
    <col min="11" max="16384" width="9.140625" style="82"/>
  </cols>
  <sheetData>
    <row r="1" spans="1:2" x14ac:dyDescent="0.25">
      <c r="A1" s="336" t="s">
        <v>208</v>
      </c>
      <c r="B1" s="336"/>
    </row>
    <row r="2" spans="1:2" x14ac:dyDescent="0.25">
      <c r="A2" s="102" t="s">
        <v>193</v>
      </c>
      <c r="B2" s="79">
        <f>'Food waste'!$B$3</f>
        <v>24000</v>
      </c>
    </row>
    <row r="3" spans="1:2" x14ac:dyDescent="0.25">
      <c r="A3" s="101" t="s">
        <v>194</v>
      </c>
      <c r="B3" s="80">
        <f>B2/2000</f>
        <v>12</v>
      </c>
    </row>
    <row r="4" spans="1:2" x14ac:dyDescent="0.25">
      <c r="A4" s="103" t="s">
        <v>202</v>
      </c>
      <c r="B4" s="75">
        <v>0.15</v>
      </c>
    </row>
    <row r="5" spans="1:2" x14ac:dyDescent="0.25">
      <c r="A5" s="103" t="s">
        <v>203</v>
      </c>
      <c r="B5" s="75">
        <v>0.85</v>
      </c>
    </row>
    <row r="6" spans="1:2" x14ac:dyDescent="0.25">
      <c r="A6" s="102" t="s">
        <v>204</v>
      </c>
      <c r="B6" s="79">
        <f>B3*B4</f>
        <v>1.7999999999999998</v>
      </c>
    </row>
    <row r="7" spans="1:2" x14ac:dyDescent="0.25">
      <c r="A7" s="102" t="s">
        <v>239</v>
      </c>
      <c r="B7" s="87">
        <f>'Food waste'!$H$18*(7.5/5)</f>
        <v>13500</v>
      </c>
    </row>
    <row r="8" spans="1:2" x14ac:dyDescent="0.25">
      <c r="A8" s="102" t="s">
        <v>240</v>
      </c>
      <c r="B8" s="79">
        <f>B7/250</f>
        <v>54</v>
      </c>
    </row>
    <row r="9" spans="1:2" x14ac:dyDescent="0.25">
      <c r="A9" s="102"/>
      <c r="B9" s="79"/>
    </row>
    <row r="10" spans="1:2" x14ac:dyDescent="0.25">
      <c r="A10" s="101" t="s">
        <v>197</v>
      </c>
      <c r="B10" s="81">
        <v>0.85</v>
      </c>
    </row>
    <row r="11" spans="1:2" x14ac:dyDescent="0.25">
      <c r="A11" s="102" t="s">
        <v>201</v>
      </c>
      <c r="B11" s="79">
        <f>B8+B3</f>
        <v>66</v>
      </c>
    </row>
    <row r="12" spans="1:2" x14ac:dyDescent="0.25">
      <c r="A12" s="103" t="s">
        <v>205</v>
      </c>
      <c r="B12" s="76">
        <f>((B3*15%)+(B8*0%))/B11</f>
        <v>2.7272727272727271E-2</v>
      </c>
    </row>
    <row r="13" spans="1:2" x14ac:dyDescent="0.25">
      <c r="A13" s="101" t="s">
        <v>200</v>
      </c>
      <c r="B13" s="80">
        <f>B11*(1-B10)</f>
        <v>9.9000000000000021</v>
      </c>
    </row>
    <row r="14" spans="1:2" x14ac:dyDescent="0.25">
      <c r="A14" s="103" t="s">
        <v>206</v>
      </c>
      <c r="B14" s="136">
        <f>(B11*B12)</f>
        <v>1.7999999999999998</v>
      </c>
    </row>
    <row r="15" spans="1:2" x14ac:dyDescent="0.25">
      <c r="A15" s="104" t="s">
        <v>207</v>
      </c>
      <c r="B15" s="135">
        <f>B14/B13</f>
        <v>0.18181818181818177</v>
      </c>
    </row>
    <row r="17" spans="1:13" x14ac:dyDescent="0.25">
      <c r="A17" s="336" t="s">
        <v>215</v>
      </c>
      <c r="B17" s="336"/>
      <c r="C17" s="336"/>
      <c r="D17" s="336"/>
      <c r="E17" s="336"/>
      <c r="F17" s="79"/>
    </row>
    <row r="18" spans="1:13" x14ac:dyDescent="0.25">
      <c r="A18" s="101"/>
      <c r="B18" s="91" t="s">
        <v>144</v>
      </c>
      <c r="C18" s="337" t="s">
        <v>210</v>
      </c>
      <c r="D18" s="337"/>
      <c r="E18" s="337"/>
      <c r="F18" s="79"/>
    </row>
    <row r="19" spans="1:13" x14ac:dyDescent="0.25">
      <c r="A19" s="101"/>
      <c r="B19" s="92"/>
      <c r="C19" s="91" t="s">
        <v>146</v>
      </c>
      <c r="D19" s="91" t="s">
        <v>147</v>
      </c>
      <c r="E19" s="91" t="s">
        <v>148</v>
      </c>
      <c r="F19" s="79"/>
    </row>
    <row r="20" spans="1:13" x14ac:dyDescent="0.25">
      <c r="A20" s="101" t="s">
        <v>158</v>
      </c>
      <c r="B20" s="92">
        <f>6*15000</f>
        <v>90000</v>
      </c>
      <c r="C20" s="92">
        <f>B20*0.5</f>
        <v>45000</v>
      </c>
      <c r="D20" s="92">
        <f>B20*0.75</f>
        <v>67500</v>
      </c>
      <c r="E20" s="92">
        <f>B20*1</f>
        <v>90000</v>
      </c>
      <c r="F20" s="79"/>
    </row>
    <row r="21" spans="1:13" x14ac:dyDescent="0.25">
      <c r="A21" s="101" t="s">
        <v>159</v>
      </c>
      <c r="B21" s="92">
        <f>'Food waste'!$K$37*80</f>
        <v>5840</v>
      </c>
      <c r="C21" s="92">
        <v>0</v>
      </c>
      <c r="D21" s="92">
        <v>0</v>
      </c>
      <c r="E21" s="92">
        <v>0</v>
      </c>
      <c r="F21" s="79" t="s">
        <v>301</v>
      </c>
      <c r="J21"/>
    </row>
    <row r="22" spans="1:13" x14ac:dyDescent="0.25">
      <c r="A22" s="247" t="s">
        <v>294</v>
      </c>
      <c r="B22" s="248">
        <v>0</v>
      </c>
      <c r="C22" s="248">
        <v>65000</v>
      </c>
      <c r="D22" s="248">
        <v>85000</v>
      </c>
      <c r="E22" s="248">
        <v>110000</v>
      </c>
      <c r="F22" s="168"/>
      <c r="J22"/>
    </row>
    <row r="23" spans="1:13" x14ac:dyDescent="0.25">
      <c r="A23" s="188" t="s">
        <v>103</v>
      </c>
      <c r="B23" s="186">
        <f>SUM(B20:B21)</f>
        <v>95840</v>
      </c>
      <c r="C23" s="186">
        <f t="shared" ref="C23:E23" si="0">SUM(C20:C22)</f>
        <v>110000</v>
      </c>
      <c r="D23" s="186">
        <f t="shared" si="0"/>
        <v>152500</v>
      </c>
      <c r="E23" s="186">
        <f t="shared" si="0"/>
        <v>200000</v>
      </c>
      <c r="F23" s="168"/>
      <c r="J23"/>
      <c r="K23"/>
      <c r="L23"/>
      <c r="M23"/>
    </row>
    <row r="24" spans="1:13" x14ac:dyDescent="0.25">
      <c r="A24" s="370" t="s">
        <v>151</v>
      </c>
      <c r="B24" s="371"/>
      <c r="C24" s="371"/>
      <c r="D24" s="371"/>
      <c r="E24" s="372"/>
      <c r="F24" s="79"/>
      <c r="I24"/>
      <c r="J24"/>
      <c r="K24"/>
      <c r="L24"/>
      <c r="M24"/>
    </row>
    <row r="25" spans="1:13" x14ac:dyDescent="0.25">
      <c r="A25" s="98" t="s">
        <v>103</v>
      </c>
      <c r="B25" s="153">
        <f>D25</f>
        <v>248340</v>
      </c>
      <c r="C25" s="92">
        <f>SUM(B23,C23)</f>
        <v>205840</v>
      </c>
      <c r="D25" s="92">
        <f>SUM(B23,D23)</f>
        <v>248340</v>
      </c>
      <c r="E25" s="92">
        <f>SUM(B23,E23)</f>
        <v>295840</v>
      </c>
      <c r="F25" s="79" t="s">
        <v>276</v>
      </c>
      <c r="I25"/>
      <c r="J25"/>
      <c r="K25"/>
      <c r="L25"/>
      <c r="M25"/>
    </row>
    <row r="26" spans="1:13" x14ac:dyDescent="0.25">
      <c r="A26" s="101" t="s">
        <v>270</v>
      </c>
      <c r="B26" s="147">
        <v>0.03</v>
      </c>
      <c r="C26" s="148">
        <v>0.03</v>
      </c>
      <c r="D26" s="148">
        <v>0.03</v>
      </c>
      <c r="E26" s="148">
        <v>0.03</v>
      </c>
      <c r="F26" s="79" t="s">
        <v>271</v>
      </c>
      <c r="I26"/>
      <c r="J26"/>
      <c r="K26"/>
      <c r="L26"/>
      <c r="M26"/>
    </row>
    <row r="27" spans="1:13" x14ac:dyDescent="0.25">
      <c r="A27" s="101" t="s">
        <v>273</v>
      </c>
      <c r="B27" s="149">
        <v>15</v>
      </c>
      <c r="C27" s="150">
        <v>15</v>
      </c>
      <c r="D27" s="150">
        <v>15</v>
      </c>
      <c r="E27" s="150">
        <v>15</v>
      </c>
      <c r="F27" s="79" t="s">
        <v>272</v>
      </c>
      <c r="I27"/>
      <c r="J27"/>
      <c r="K27"/>
      <c r="L27"/>
      <c r="M27"/>
    </row>
    <row r="28" spans="1:13" x14ac:dyDescent="0.25">
      <c r="A28" s="101" t="s">
        <v>274</v>
      </c>
      <c r="B28" s="56">
        <f>(((1+B26)^B27)-1)/(B26*(1+B26)^B27)</f>
        <v>11.937935086776077</v>
      </c>
      <c r="C28" s="56">
        <f t="shared" ref="C28:E28" si="1">(((1+C26)^C27)-1)/(C26*(1+C26)^C27)</f>
        <v>11.937935086776077</v>
      </c>
      <c r="D28" s="56">
        <f t="shared" si="1"/>
        <v>11.937935086776077</v>
      </c>
      <c r="E28" s="56">
        <f t="shared" si="1"/>
        <v>11.937935086776077</v>
      </c>
      <c r="F28" s="79"/>
      <c r="I28"/>
      <c r="J28"/>
      <c r="K28"/>
      <c r="L28"/>
      <c r="M28"/>
    </row>
    <row r="29" spans="1:13" x14ac:dyDescent="0.25">
      <c r="A29" s="101" t="s">
        <v>269</v>
      </c>
      <c r="B29" s="91">
        <f t="shared" ref="B29:E29" si="2">B25/B28</f>
        <v>20802.592592004614</v>
      </c>
      <c r="C29" s="92">
        <f t="shared" si="2"/>
        <v>17242.512922357371</v>
      </c>
      <c r="D29" s="92">
        <f t="shared" si="2"/>
        <v>20802.592592004614</v>
      </c>
      <c r="E29" s="92">
        <f t="shared" si="2"/>
        <v>24781.505163963298</v>
      </c>
      <c r="F29" s="79" t="s">
        <v>275</v>
      </c>
      <c r="I29"/>
      <c r="J29"/>
      <c r="K29"/>
      <c r="L29"/>
      <c r="M29"/>
    </row>
    <row r="30" spans="1:13" x14ac:dyDescent="0.25">
      <c r="A30" s="98"/>
      <c r="B30" s="92"/>
      <c r="C30" s="92"/>
      <c r="D30" s="92"/>
      <c r="E30" s="92"/>
      <c r="F30" s="79"/>
      <c r="I30"/>
      <c r="J30"/>
      <c r="K30"/>
      <c r="L30"/>
      <c r="M30"/>
    </row>
    <row r="31" spans="1:13" x14ac:dyDescent="0.25">
      <c r="A31" s="101" t="s">
        <v>211</v>
      </c>
      <c r="B31" s="92"/>
      <c r="C31" s="92"/>
      <c r="D31" s="92"/>
      <c r="E31" s="92"/>
      <c r="F31" s="79"/>
      <c r="I31"/>
      <c r="J31"/>
      <c r="K31"/>
      <c r="L31"/>
      <c r="M31"/>
    </row>
    <row r="32" spans="1:13" x14ac:dyDescent="0.25">
      <c r="A32" s="104" t="s">
        <v>153</v>
      </c>
      <c r="B32" s="92">
        <f>B95*6</f>
        <v>600</v>
      </c>
      <c r="C32" s="92">
        <f>B32*0.9</f>
        <v>540</v>
      </c>
      <c r="D32" s="92">
        <f>B32*1</f>
        <v>600</v>
      </c>
      <c r="E32" s="92">
        <f>B32*1.1</f>
        <v>660</v>
      </c>
      <c r="F32" s="79" t="s">
        <v>160</v>
      </c>
      <c r="I32"/>
      <c r="J32"/>
      <c r="K32"/>
      <c r="L32"/>
      <c r="M32"/>
    </row>
    <row r="33" spans="1:13" ht="15" customHeight="1" x14ac:dyDescent="0.25">
      <c r="A33" s="104" t="s">
        <v>154</v>
      </c>
      <c r="B33" s="92">
        <f>(B7*32)*3.35/1000</f>
        <v>1447.2</v>
      </c>
      <c r="C33" s="92">
        <f>B33*0.9</f>
        <v>1302.48</v>
      </c>
      <c r="D33" s="92">
        <f>B33*1</f>
        <v>1447.2</v>
      </c>
      <c r="E33" s="92">
        <f>B33*1.1</f>
        <v>1591.92</v>
      </c>
      <c r="F33" s="95" t="s">
        <v>241</v>
      </c>
      <c r="I33"/>
      <c r="J33"/>
      <c r="K33"/>
      <c r="L33"/>
      <c r="M33"/>
    </row>
    <row r="34" spans="1:13" x14ac:dyDescent="0.25">
      <c r="A34" s="104" t="s">
        <v>155</v>
      </c>
      <c r="B34" s="92">
        <f>(B7*32)*4.18/1000</f>
        <v>1805.7599999999998</v>
      </c>
      <c r="C34" s="92">
        <f>B34*0.9</f>
        <v>1625.1839999999997</v>
      </c>
      <c r="D34" s="92">
        <f>B34*1</f>
        <v>1805.7599999999998</v>
      </c>
      <c r="E34" s="92">
        <f>B34*1.1</f>
        <v>1986.336</v>
      </c>
      <c r="F34" s="79" t="s">
        <v>242</v>
      </c>
      <c r="I34"/>
      <c r="J34"/>
    </row>
    <row r="35" spans="1:13" x14ac:dyDescent="0.25">
      <c r="A35" s="104" t="s">
        <v>161</v>
      </c>
      <c r="B35" s="92">
        <f>D35</f>
        <v>19200</v>
      </c>
      <c r="C35" s="92">
        <f>50*3*32*3</f>
        <v>14400</v>
      </c>
      <c r="D35" s="92">
        <f>50*4*32*3</f>
        <v>19200</v>
      </c>
      <c r="E35" s="92">
        <f>50*6*32*3</f>
        <v>28800</v>
      </c>
      <c r="F35" s="79" t="s">
        <v>300</v>
      </c>
      <c r="I35"/>
      <c r="J35"/>
    </row>
    <row r="36" spans="1:13" x14ac:dyDescent="0.25">
      <c r="A36" s="104" t="s">
        <v>162</v>
      </c>
      <c r="B36" s="92">
        <f>21.53*B13*32</f>
        <v>6820.7040000000015</v>
      </c>
      <c r="C36" s="92">
        <f>B36*0.9</f>
        <v>6138.6336000000019</v>
      </c>
      <c r="D36" s="92">
        <f>B36*1</f>
        <v>6820.7040000000015</v>
      </c>
      <c r="E36" s="92">
        <f>B36*1.1</f>
        <v>7502.7744000000021</v>
      </c>
      <c r="F36" s="79" t="s">
        <v>163</v>
      </c>
      <c r="I36"/>
      <c r="J36"/>
    </row>
    <row r="37" spans="1:13" x14ac:dyDescent="0.25">
      <c r="A37" s="183" t="s">
        <v>297</v>
      </c>
      <c r="B37" s="186">
        <f>50*3*32</f>
        <v>4800</v>
      </c>
      <c r="C37" s="186">
        <f>B37*0.9</f>
        <v>4320</v>
      </c>
      <c r="D37" s="186">
        <f>B37</f>
        <v>4800</v>
      </c>
      <c r="E37" s="186">
        <f>B37*1.1</f>
        <v>5280</v>
      </c>
      <c r="F37" s="168" t="s">
        <v>298</v>
      </c>
      <c r="J37"/>
    </row>
    <row r="38" spans="1:13" x14ac:dyDescent="0.25">
      <c r="A38" s="104" t="s">
        <v>164</v>
      </c>
      <c r="B38" s="92">
        <f>'Current - Aerobic (EnviroPure)'!B32</f>
        <v>15000</v>
      </c>
      <c r="C38" s="92">
        <f>'Current - Aerobic (EnviroPure)'!C32</f>
        <v>13500</v>
      </c>
      <c r="D38" s="92">
        <f>'Current - Aerobic (EnviroPure)'!D32</f>
        <v>15000</v>
      </c>
      <c r="E38" s="92">
        <f>'Current - Aerobic (EnviroPure)'!E32</f>
        <v>16500</v>
      </c>
      <c r="F38" s="79" t="s">
        <v>191</v>
      </c>
      <c r="J38"/>
    </row>
    <row r="39" spans="1:13" x14ac:dyDescent="0.25">
      <c r="A39" s="165" t="s">
        <v>290</v>
      </c>
      <c r="B39" s="163">
        <f>15*B13*32</f>
        <v>4752.0000000000009</v>
      </c>
      <c r="C39" s="163">
        <f t="shared" ref="C39" si="3">B39*0.9</f>
        <v>4276.8000000000011</v>
      </c>
      <c r="D39" s="163">
        <f t="shared" ref="D39" si="4">B39*1</f>
        <v>4752.0000000000009</v>
      </c>
      <c r="E39" s="163">
        <f t="shared" ref="E39" si="5">B39*1.1</f>
        <v>5227.2000000000016</v>
      </c>
      <c r="F39" s="164" t="s">
        <v>291</v>
      </c>
      <c r="J39"/>
    </row>
    <row r="40" spans="1:13" x14ac:dyDescent="0.25">
      <c r="A40" s="106" t="s">
        <v>214</v>
      </c>
      <c r="B40" s="94">
        <f>SUM(B32:B38)</f>
        <v>49673.664000000004</v>
      </c>
      <c r="C40" s="94">
        <f>SUM(C32:C38)</f>
        <v>41826.297600000005</v>
      </c>
      <c r="D40" s="94">
        <f>SUM(D32:D38)</f>
        <v>49673.664000000004</v>
      </c>
      <c r="E40" s="94">
        <f>SUM(E32:E38)</f>
        <v>62321.030400000003</v>
      </c>
      <c r="F40" s="79"/>
      <c r="J40"/>
    </row>
    <row r="41" spans="1:13" x14ac:dyDescent="0.25">
      <c r="A41" s="122" t="s">
        <v>212</v>
      </c>
      <c r="B41" s="123">
        <f>B29+B40</f>
        <v>70476.256592004618</v>
      </c>
      <c r="C41" s="123">
        <f>C29+C40</f>
        <v>59068.81052235738</v>
      </c>
      <c r="D41" s="123">
        <f>D29+D40</f>
        <v>70476.256592004618</v>
      </c>
      <c r="E41" s="123">
        <f>E29+E40</f>
        <v>87102.535563963305</v>
      </c>
      <c r="F41" s="124" t="s">
        <v>213</v>
      </c>
      <c r="J41"/>
    </row>
    <row r="42" spans="1:13" x14ac:dyDescent="0.25">
      <c r="A42" s="105"/>
      <c r="B42" s="91"/>
      <c r="C42" s="91"/>
      <c r="D42" s="91"/>
      <c r="E42" s="91"/>
      <c r="F42" s="80"/>
      <c r="J42"/>
      <c r="L42"/>
    </row>
    <row r="43" spans="1:13" x14ac:dyDescent="0.25">
      <c r="A43" s="366" t="s">
        <v>165</v>
      </c>
      <c r="B43" s="367"/>
      <c r="C43" s="367"/>
      <c r="D43" s="367"/>
      <c r="E43" s="368"/>
      <c r="F43" s="79"/>
      <c r="J43"/>
      <c r="L43"/>
    </row>
    <row r="44" spans="1:13" x14ac:dyDescent="0.25">
      <c r="A44" s="80" t="s">
        <v>221</v>
      </c>
      <c r="B44" s="79"/>
      <c r="C44" s="4"/>
      <c r="D44" s="4"/>
      <c r="E44" s="4"/>
      <c r="F44" s="79"/>
      <c r="J44"/>
      <c r="L44"/>
    </row>
    <row r="45" spans="1:13" x14ac:dyDescent="0.25">
      <c r="A45" s="99" t="s">
        <v>169</v>
      </c>
      <c r="B45" s="92">
        <f>'Biogas to electricity - Input'!$D$35</f>
        <v>4575.170752735834</v>
      </c>
      <c r="C45" s="92">
        <f>B45*0.9</f>
        <v>4117.6536774622509</v>
      </c>
      <c r="D45" s="92">
        <f>B45</f>
        <v>4575.170752735834</v>
      </c>
      <c r="E45" s="92">
        <f>B45*1.1</f>
        <v>5032.6878280094179</v>
      </c>
      <c r="F45" s="79" t="s">
        <v>168</v>
      </c>
      <c r="J45"/>
      <c r="L45"/>
    </row>
    <row r="46" spans="1:13" x14ac:dyDescent="0.25">
      <c r="A46" s="100" t="s">
        <v>180</v>
      </c>
      <c r="B46" s="92">
        <f>'Biogas to electricity - Input'!$F$35</f>
        <v>186.37704133314341</v>
      </c>
      <c r="C46" s="92">
        <f>B46*0.9</f>
        <v>167.73933719982907</v>
      </c>
      <c r="D46" s="92">
        <f>B46</f>
        <v>186.37704133314341</v>
      </c>
      <c r="E46" s="92">
        <f>B46*1.1</f>
        <v>205.01474546645775</v>
      </c>
      <c r="F46" s="79" t="s">
        <v>166</v>
      </c>
      <c r="J46"/>
      <c r="L46"/>
    </row>
    <row r="47" spans="1:13" x14ac:dyDescent="0.25">
      <c r="A47" s="99" t="s">
        <v>167</v>
      </c>
      <c r="B47" s="92">
        <f>'Biogas to electricity - Input'!$E$35</f>
        <v>869.9879071557848</v>
      </c>
      <c r="C47" s="92">
        <f>B47*0.9</f>
        <v>782.98911644020632</v>
      </c>
      <c r="D47" s="92">
        <f>B47</f>
        <v>869.9879071557848</v>
      </c>
      <c r="E47" s="92">
        <f>B47*1.1</f>
        <v>956.98669787136339</v>
      </c>
      <c r="F47" s="79" t="s">
        <v>168</v>
      </c>
      <c r="J47"/>
      <c r="L47"/>
    </row>
    <row r="48" spans="1:13" x14ac:dyDescent="0.25">
      <c r="A48" s="99" t="s">
        <v>170</v>
      </c>
      <c r="B48" s="92">
        <f>'Alton report, Credit Sales'!$D$31</f>
        <v>-2781.1921913367355</v>
      </c>
      <c r="C48" s="92">
        <f>B48*0.9</f>
        <v>-2503.0729722030619</v>
      </c>
      <c r="D48" s="92">
        <f>B48</f>
        <v>-2781.1921913367355</v>
      </c>
      <c r="E48" s="92">
        <f>B48*1.1</f>
        <v>-3059.3114104704091</v>
      </c>
      <c r="F48" s="79"/>
      <c r="J48"/>
      <c r="L48"/>
    </row>
    <row r="49" spans="1:12" x14ac:dyDescent="0.25">
      <c r="A49" s="98" t="s">
        <v>217</v>
      </c>
      <c r="B49" s="94">
        <f>SUM(B45:B48)</f>
        <v>2850.3435098880268</v>
      </c>
      <c r="C49" s="94">
        <f>SUM(C45:C48)</f>
        <v>2565.3091588992238</v>
      </c>
      <c r="D49" s="94">
        <f>SUM(D45:D48)</f>
        <v>2850.3435098880268</v>
      </c>
      <c r="E49" s="94">
        <f>SUM(E45:E48)</f>
        <v>3135.3778608768298</v>
      </c>
      <c r="F49" s="79" t="s">
        <v>218</v>
      </c>
      <c r="J49"/>
      <c r="L49"/>
    </row>
    <row r="50" spans="1:12" x14ac:dyDescent="0.25">
      <c r="A50" s="102"/>
      <c r="B50" s="79"/>
      <c r="C50" s="79"/>
      <c r="D50" s="79"/>
      <c r="E50" s="79"/>
      <c r="F50" s="79"/>
      <c r="J50"/>
      <c r="L50"/>
    </row>
    <row r="51" spans="1:12" x14ac:dyDescent="0.25">
      <c r="A51" s="101" t="s">
        <v>222</v>
      </c>
      <c r="B51" s="79"/>
      <c r="C51" s="79"/>
      <c r="D51" s="79"/>
      <c r="E51" s="79"/>
      <c r="F51" s="79"/>
      <c r="L51"/>
    </row>
    <row r="52" spans="1:12" x14ac:dyDescent="0.25">
      <c r="A52" s="101" t="s">
        <v>219</v>
      </c>
      <c r="B52" s="79"/>
      <c r="C52" s="79"/>
      <c r="D52" s="79"/>
      <c r="E52" s="79"/>
      <c r="F52" s="79"/>
      <c r="L52"/>
    </row>
    <row r="53" spans="1:12" x14ac:dyDescent="0.25">
      <c r="A53" s="100" t="s">
        <v>55</v>
      </c>
      <c r="B53" s="92">
        <f>'Alton report, Credit Sales'!$C$28</f>
        <v>9664.2211221503985</v>
      </c>
      <c r="C53" s="92">
        <f>'Alton report, Credit Sales'!$C$27*0.75</f>
        <v>3624.0829208063997</v>
      </c>
      <c r="D53" s="92">
        <f>B53</f>
        <v>9664.2211221503985</v>
      </c>
      <c r="E53" s="92">
        <f>'Alton report, Credit Sales'!$C$27*2.75</f>
        <v>13288.304042956797</v>
      </c>
      <c r="F53" s="79" t="s">
        <v>361</v>
      </c>
    </row>
    <row r="54" spans="1:12" x14ac:dyDescent="0.25">
      <c r="A54" s="108" t="s">
        <v>173</v>
      </c>
      <c r="B54" s="92">
        <f>'Alton report, Credit Sales'!$E$5</f>
        <v>2188.9047840767998</v>
      </c>
      <c r="C54" s="92">
        <f>'Alton report, Credit Sales'!$C$5*50</f>
        <v>1094.4523920383999</v>
      </c>
      <c r="D54" s="92">
        <f>B54</f>
        <v>2188.9047840767998</v>
      </c>
      <c r="E54" s="92">
        <f>'Alton report, Credit Sales'!$C$5*150</f>
        <v>3283.3571761152002</v>
      </c>
      <c r="F54" s="79" t="s">
        <v>174</v>
      </c>
    </row>
    <row r="55" spans="1:12" x14ac:dyDescent="0.25">
      <c r="A55" s="101" t="s">
        <v>223</v>
      </c>
      <c r="B55" s="92">
        <f>SUM(B53:B54)</f>
        <v>11853.125906227198</v>
      </c>
      <c r="C55" s="92">
        <f>SUM(C53:C54)</f>
        <v>4718.5353128447996</v>
      </c>
      <c r="D55" s="92">
        <f>SUM(D53:D54)</f>
        <v>11853.125906227198</v>
      </c>
      <c r="E55" s="92">
        <f>SUM(E53:E54)</f>
        <v>16571.661219071997</v>
      </c>
      <c r="F55" s="79"/>
    </row>
    <row r="56" spans="1:12" x14ac:dyDescent="0.25">
      <c r="A56" s="99" t="s">
        <v>172</v>
      </c>
      <c r="B56" s="92">
        <f>'Alton report, Credit Sales'!$C$39</f>
        <v>1234.2176795098276</v>
      </c>
      <c r="C56" s="92">
        <f>D56*0.9</f>
        <v>1110.7959115588449</v>
      </c>
      <c r="D56" s="92">
        <f>B56</f>
        <v>1234.2176795098276</v>
      </c>
      <c r="E56" s="92">
        <f>B56*1.1</f>
        <v>1357.6394474608105</v>
      </c>
      <c r="F56" s="79" t="s">
        <v>343</v>
      </c>
    </row>
    <row r="57" spans="1:12" x14ac:dyDescent="0.25">
      <c r="A57" s="109" t="s">
        <v>175</v>
      </c>
      <c r="B57" s="92">
        <f>'Alton report, Credit Sales'!C42</f>
        <v>-182.21543249716603</v>
      </c>
      <c r="C57" s="92">
        <f>B57*0.9</f>
        <v>-163.99388924744943</v>
      </c>
      <c r="D57" s="92">
        <f>B57</f>
        <v>-182.21543249716603</v>
      </c>
      <c r="E57" s="92">
        <f>B57*1.1</f>
        <v>-200.43697574688267</v>
      </c>
      <c r="F57" s="79" t="s">
        <v>227</v>
      </c>
    </row>
    <row r="58" spans="1:12" x14ac:dyDescent="0.25">
      <c r="A58" s="109" t="s">
        <v>324</v>
      </c>
      <c r="B58" s="92">
        <f>'Alton report, Credit Sales'!$K$28</f>
        <v>-4142.6253555041485</v>
      </c>
      <c r="C58" s="92">
        <f>B58*0.9</f>
        <v>-3728.3628199537338</v>
      </c>
      <c r="D58" s="92">
        <f>B58</f>
        <v>-4142.6253555041485</v>
      </c>
      <c r="E58" s="92">
        <f>B58*1.1</f>
        <v>-4556.8878910545636</v>
      </c>
      <c r="F58" s="79" t="s">
        <v>332</v>
      </c>
    </row>
    <row r="59" spans="1:12" x14ac:dyDescent="0.25">
      <c r="A59" s="109" t="s">
        <v>331</v>
      </c>
      <c r="B59" s="92">
        <f>B55*20%*(-1)</f>
        <v>-2370.6251812454398</v>
      </c>
      <c r="C59" s="92">
        <f>C55*20%*(-1)</f>
        <v>-943.70706256895994</v>
      </c>
      <c r="D59" s="92">
        <f>D55*20%*(-1)</f>
        <v>-2370.6251812454398</v>
      </c>
      <c r="E59" s="92">
        <f>E55*20%*(-1)</f>
        <v>-3314.3322438143996</v>
      </c>
      <c r="F59" s="79" t="s">
        <v>252</v>
      </c>
    </row>
    <row r="60" spans="1:12" x14ac:dyDescent="0.25">
      <c r="A60" s="105" t="s">
        <v>226</v>
      </c>
      <c r="B60" s="94">
        <f>SUM(B55:B59)</f>
        <v>6391.8776164902738</v>
      </c>
      <c r="C60" s="94">
        <f>SUM(C55:C59)</f>
        <v>993.26745263350119</v>
      </c>
      <c r="D60" s="94">
        <f>SUM(D55:D59)</f>
        <v>6391.8776164902738</v>
      </c>
      <c r="E60" s="94">
        <f>SUM(E55:E59)</f>
        <v>9857.6435559169622</v>
      </c>
      <c r="F60" s="93" t="s">
        <v>225</v>
      </c>
    </row>
    <row r="63" spans="1:12" x14ac:dyDescent="0.25">
      <c r="A63" s="336" t="s">
        <v>209</v>
      </c>
      <c r="B63" s="336"/>
    </row>
    <row r="64" spans="1:12" x14ac:dyDescent="0.25">
      <c r="A64" s="102" t="s">
        <v>193</v>
      </c>
      <c r="B64" s="88">
        <f>'Food waste'!$B$25</f>
        <v>3190.4061545423688</v>
      </c>
    </row>
    <row r="65" spans="1:6" x14ac:dyDescent="0.25">
      <c r="A65" s="101" t="s">
        <v>194</v>
      </c>
      <c r="B65" s="90">
        <f>B64/2000</f>
        <v>1.5952030772711845</v>
      </c>
    </row>
    <row r="66" spans="1:6" x14ac:dyDescent="0.25">
      <c r="A66" s="103" t="s">
        <v>202</v>
      </c>
      <c r="B66" s="75">
        <v>0.15</v>
      </c>
    </row>
    <row r="67" spans="1:6" x14ac:dyDescent="0.25">
      <c r="A67" s="103" t="s">
        <v>203</v>
      </c>
      <c r="B67" s="75">
        <v>0.85</v>
      </c>
    </row>
    <row r="68" spans="1:6" x14ac:dyDescent="0.25">
      <c r="A68" s="102" t="s">
        <v>204</v>
      </c>
      <c r="B68" s="88">
        <f>B65*B66</f>
        <v>0.23928046159067767</v>
      </c>
    </row>
    <row r="69" spans="1:6" x14ac:dyDescent="0.25">
      <c r="A69" s="102" t="s">
        <v>239</v>
      </c>
      <c r="B69" s="87">
        <f>'Food waste'!$H$16*(7.5/5)</f>
        <v>1794.6034619300822</v>
      </c>
    </row>
    <row r="70" spans="1:6" x14ac:dyDescent="0.25">
      <c r="A70" s="102" t="s">
        <v>240</v>
      </c>
      <c r="B70" s="88">
        <f>B69/250</f>
        <v>7.1784138477203285</v>
      </c>
    </row>
    <row r="71" spans="1:6" x14ac:dyDescent="0.25">
      <c r="A71" s="102"/>
      <c r="B71" s="79"/>
    </row>
    <row r="72" spans="1:6" x14ac:dyDescent="0.25">
      <c r="A72" s="101" t="s">
        <v>197</v>
      </c>
      <c r="B72" s="81">
        <v>0.85</v>
      </c>
    </row>
    <row r="73" spans="1:6" x14ac:dyDescent="0.25">
      <c r="A73" s="102" t="s">
        <v>201</v>
      </c>
      <c r="B73" s="88">
        <f>B70+B65</f>
        <v>8.7736169249915132</v>
      </c>
    </row>
    <row r="74" spans="1:6" x14ac:dyDescent="0.25">
      <c r="A74" s="103" t="s">
        <v>205</v>
      </c>
      <c r="B74" s="76">
        <f>((B65*15%)+(B70*0%))/B73</f>
        <v>2.7272727272727278E-2</v>
      </c>
    </row>
    <row r="75" spans="1:6" x14ac:dyDescent="0.25">
      <c r="A75" s="101" t="s">
        <v>200</v>
      </c>
      <c r="B75" s="90">
        <f>B73*(1-B72)</f>
        <v>1.3160425387487271</v>
      </c>
    </row>
    <row r="76" spans="1:6" x14ac:dyDescent="0.25">
      <c r="A76" s="103" t="s">
        <v>206</v>
      </c>
      <c r="B76" s="77">
        <f>(B73*B74)</f>
        <v>0.23928046159067767</v>
      </c>
    </row>
    <row r="77" spans="1:6" x14ac:dyDescent="0.25">
      <c r="A77" s="104" t="s">
        <v>207</v>
      </c>
      <c r="B77" s="74">
        <f>B76/B75</f>
        <v>0.18181818181818182</v>
      </c>
    </row>
    <row r="78" spans="1:6" x14ac:dyDescent="0.25">
      <c r="A78" s="107"/>
      <c r="B78" s="96"/>
    </row>
    <row r="80" spans="1:6" x14ac:dyDescent="0.25">
      <c r="A80" s="336" t="s">
        <v>216</v>
      </c>
      <c r="B80" s="336"/>
      <c r="C80" s="336"/>
      <c r="D80" s="336"/>
      <c r="E80" s="336"/>
      <c r="F80" s="79"/>
    </row>
    <row r="81" spans="1:11" x14ac:dyDescent="0.25">
      <c r="A81" s="101"/>
      <c r="B81" s="91" t="s">
        <v>144</v>
      </c>
      <c r="C81" s="337" t="s">
        <v>210</v>
      </c>
      <c r="D81" s="337"/>
      <c r="E81" s="337"/>
      <c r="F81" s="79"/>
    </row>
    <row r="82" spans="1:11" x14ac:dyDescent="0.25">
      <c r="A82" s="101"/>
      <c r="B82" s="92"/>
      <c r="C82" s="91" t="s">
        <v>146</v>
      </c>
      <c r="D82" s="91" t="s">
        <v>147</v>
      </c>
      <c r="E82" s="91" t="s">
        <v>148</v>
      </c>
      <c r="F82" s="79"/>
    </row>
    <row r="83" spans="1:11" x14ac:dyDescent="0.25">
      <c r="A83" s="101" t="s">
        <v>87</v>
      </c>
      <c r="B83" s="92">
        <v>15000</v>
      </c>
      <c r="C83" s="92">
        <f>B83*0.5</f>
        <v>7500</v>
      </c>
      <c r="D83" s="92">
        <f>B83*0.75</f>
        <v>11250</v>
      </c>
      <c r="E83" s="92">
        <f>B83*1</f>
        <v>15000</v>
      </c>
      <c r="F83" s="79"/>
    </row>
    <row r="84" spans="1:11" x14ac:dyDescent="0.25">
      <c r="A84" s="101" t="s">
        <v>177</v>
      </c>
      <c r="B84" s="92">
        <f>'Food waste'!$K$38*80</f>
        <v>800</v>
      </c>
      <c r="C84" s="92">
        <v>0</v>
      </c>
      <c r="D84" s="92">
        <v>0</v>
      </c>
      <c r="E84" s="92">
        <v>0</v>
      </c>
      <c r="F84" s="79" t="s">
        <v>302</v>
      </c>
    </row>
    <row r="85" spans="1:11" x14ac:dyDescent="0.25">
      <c r="A85" s="247" t="s">
        <v>294</v>
      </c>
      <c r="B85" s="248">
        <v>0</v>
      </c>
      <c r="C85" s="248">
        <f t="shared" ref="C85:E85" si="6">C23*($B$65/$B$3)</f>
        <v>14622.694874985857</v>
      </c>
      <c r="D85" s="248">
        <f t="shared" si="6"/>
        <v>20272.372440321302</v>
      </c>
      <c r="E85" s="248">
        <f t="shared" si="6"/>
        <v>26586.71795451974</v>
      </c>
      <c r="F85" s="79"/>
      <c r="I85"/>
      <c r="J85"/>
      <c r="K85"/>
    </row>
    <row r="86" spans="1:11" x14ac:dyDescent="0.25">
      <c r="A86" s="188" t="s">
        <v>103</v>
      </c>
      <c r="B86" s="186">
        <f>SUM(B83:B84)</f>
        <v>15800</v>
      </c>
      <c r="C86" s="186">
        <f t="shared" ref="C86:E86" si="7">SUM(C83:C85)</f>
        <v>22122.694874985857</v>
      </c>
      <c r="D86" s="186">
        <f t="shared" si="7"/>
        <v>31522.372440321302</v>
      </c>
      <c r="E86" s="186">
        <f t="shared" si="7"/>
        <v>41586.717954519743</v>
      </c>
      <c r="F86" s="79"/>
      <c r="I86"/>
      <c r="J86"/>
      <c r="K86"/>
    </row>
    <row r="87" spans="1:11" x14ac:dyDescent="0.25">
      <c r="A87" s="101"/>
      <c r="B87" s="92"/>
      <c r="C87" s="94" t="s">
        <v>151</v>
      </c>
      <c r="D87" s="94"/>
      <c r="E87" s="94"/>
      <c r="F87" s="79"/>
      <c r="I87"/>
      <c r="J87"/>
      <c r="K87"/>
    </row>
    <row r="88" spans="1:11" x14ac:dyDescent="0.25">
      <c r="A88" s="98" t="s">
        <v>103</v>
      </c>
      <c r="B88" s="153">
        <f>D88</f>
        <v>47322.372440321298</v>
      </c>
      <c r="C88" s="92">
        <f>SUM(B86,C86)</f>
        <v>37922.694874985857</v>
      </c>
      <c r="D88" s="92">
        <f>SUM(B86,D86)</f>
        <v>47322.372440321298</v>
      </c>
      <c r="E88" s="92">
        <f>SUM(B86,E86)</f>
        <v>57386.717954519743</v>
      </c>
      <c r="F88" s="79" t="s">
        <v>276</v>
      </c>
      <c r="I88"/>
      <c r="J88"/>
      <c r="K88"/>
    </row>
    <row r="89" spans="1:11" x14ac:dyDescent="0.25">
      <c r="A89" s="101" t="s">
        <v>270</v>
      </c>
      <c r="B89" s="147">
        <v>0.03</v>
      </c>
      <c r="C89" s="148">
        <v>0.03</v>
      </c>
      <c r="D89" s="148">
        <v>0.03</v>
      </c>
      <c r="E89" s="148">
        <v>0.03</v>
      </c>
      <c r="F89" s="79" t="s">
        <v>271</v>
      </c>
      <c r="I89"/>
      <c r="J89"/>
      <c r="K89"/>
    </row>
    <row r="90" spans="1:11" x14ac:dyDescent="0.25">
      <c r="A90" s="101" t="s">
        <v>273</v>
      </c>
      <c r="B90" s="149">
        <v>15</v>
      </c>
      <c r="C90" s="150">
        <v>15</v>
      </c>
      <c r="D90" s="150">
        <v>15</v>
      </c>
      <c r="E90" s="150">
        <v>15</v>
      </c>
      <c r="F90" s="79" t="s">
        <v>272</v>
      </c>
      <c r="I90"/>
      <c r="J90"/>
      <c r="K90"/>
    </row>
    <row r="91" spans="1:11" x14ac:dyDescent="0.25">
      <c r="A91" s="101" t="s">
        <v>274</v>
      </c>
      <c r="B91" s="56">
        <f>(((1+B89)^B90)-1)/(B89*(1+B89)^B90)</f>
        <v>11.937935086776077</v>
      </c>
      <c r="C91" s="56">
        <f t="shared" ref="C91:E91" si="8">(((1+C89)^C90)-1)/(C89*(1+C89)^C90)</f>
        <v>11.937935086776077</v>
      </c>
      <c r="D91" s="56">
        <f t="shared" si="8"/>
        <v>11.937935086776077</v>
      </c>
      <c r="E91" s="56">
        <f t="shared" si="8"/>
        <v>11.937935086776077</v>
      </c>
      <c r="F91" s="79"/>
      <c r="I91"/>
      <c r="J91"/>
      <c r="K91"/>
    </row>
    <row r="92" spans="1:11" x14ac:dyDescent="0.25">
      <c r="A92" s="101" t="s">
        <v>269</v>
      </c>
      <c r="B92" s="91">
        <f t="shared" ref="B92:E92" si="9">B88/B91</f>
        <v>3964.0333186885368</v>
      </c>
      <c r="C92" s="92">
        <f t="shared" si="9"/>
        <v>3176.6544715923014</v>
      </c>
      <c r="D92" s="92">
        <f t="shared" si="9"/>
        <v>3964.0333186885368</v>
      </c>
      <c r="E92" s="92">
        <f t="shared" si="9"/>
        <v>4807.0891270039083</v>
      </c>
      <c r="F92" s="79" t="s">
        <v>275</v>
      </c>
      <c r="I92"/>
      <c r="J92"/>
      <c r="K92"/>
    </row>
    <row r="93" spans="1:11" x14ac:dyDescent="0.25">
      <c r="A93" s="101"/>
      <c r="B93" s="92"/>
      <c r="C93" s="92"/>
      <c r="D93" s="92"/>
      <c r="E93" s="92"/>
      <c r="F93" s="79"/>
      <c r="I93"/>
      <c r="J93"/>
      <c r="K93"/>
    </row>
    <row r="94" spans="1:11" x14ac:dyDescent="0.25">
      <c r="A94" s="101" t="s">
        <v>211</v>
      </c>
      <c r="B94" s="92"/>
      <c r="C94" s="92"/>
      <c r="D94" s="92"/>
      <c r="E94" s="92"/>
      <c r="F94" s="79"/>
      <c r="I94"/>
      <c r="J94"/>
      <c r="K94"/>
    </row>
    <row r="95" spans="1:11" x14ac:dyDescent="0.25">
      <c r="A95" s="104" t="s">
        <v>153</v>
      </c>
      <c r="B95" s="92">
        <v>100</v>
      </c>
      <c r="C95" s="92">
        <f>B95*0.9</f>
        <v>90</v>
      </c>
      <c r="D95" s="92">
        <f>B95*1</f>
        <v>100</v>
      </c>
      <c r="E95" s="92">
        <f>B95*1.1</f>
        <v>110.00000000000001</v>
      </c>
      <c r="F95" s="79" t="s">
        <v>178</v>
      </c>
      <c r="I95"/>
      <c r="J95"/>
      <c r="K95"/>
    </row>
    <row r="96" spans="1:11" x14ac:dyDescent="0.25">
      <c r="A96" s="104" t="s">
        <v>154</v>
      </c>
      <c r="B96" s="92">
        <f>B33*(1.6/12)</f>
        <v>192.96</v>
      </c>
      <c r="C96" s="92">
        <f>B96*0.9</f>
        <v>173.66400000000002</v>
      </c>
      <c r="D96" s="92">
        <f>B96*1</f>
        <v>192.96</v>
      </c>
      <c r="E96" s="92">
        <f>B96*1.1</f>
        <v>212.25600000000003</v>
      </c>
      <c r="F96" s="95" t="s">
        <v>241</v>
      </c>
      <c r="I96"/>
      <c r="J96"/>
      <c r="K96"/>
    </row>
    <row r="97" spans="1:13" x14ac:dyDescent="0.25">
      <c r="A97" s="104" t="s">
        <v>155</v>
      </c>
      <c r="B97" s="92">
        <f>B34*(1.6/12)</f>
        <v>240.76799999999997</v>
      </c>
      <c r="C97" s="92">
        <f>B97*0.9</f>
        <v>216.69119999999998</v>
      </c>
      <c r="D97" s="92">
        <f>B97*1</f>
        <v>240.76799999999997</v>
      </c>
      <c r="E97" s="92">
        <f>B97*1.1</f>
        <v>264.84479999999996</v>
      </c>
      <c r="F97" s="79" t="s">
        <v>242</v>
      </c>
      <c r="H97"/>
      <c r="I97"/>
      <c r="J97"/>
      <c r="K97"/>
    </row>
    <row r="98" spans="1:13" x14ac:dyDescent="0.25">
      <c r="A98" s="104" t="s">
        <v>161</v>
      </c>
      <c r="B98" s="92">
        <f>D98</f>
        <v>2560</v>
      </c>
      <c r="C98" s="92">
        <f>50*3*32*(1.6/12)*3</f>
        <v>1920</v>
      </c>
      <c r="D98" s="92">
        <f>50*4*32*(1.6/12)*3</f>
        <v>2560</v>
      </c>
      <c r="E98" s="92">
        <f>50*6*32*(1.6/12)*3</f>
        <v>3840</v>
      </c>
      <c r="F98" s="79" t="s">
        <v>300</v>
      </c>
      <c r="H98"/>
      <c r="I98"/>
      <c r="J98"/>
      <c r="K98"/>
    </row>
    <row r="99" spans="1:13" x14ac:dyDescent="0.25">
      <c r="A99" s="104" t="s">
        <v>162</v>
      </c>
      <c r="B99" s="92">
        <f>B36*(1.6/12)</f>
        <v>909.4272000000002</v>
      </c>
      <c r="C99" s="92">
        <f>B99*0.9</f>
        <v>818.48448000000019</v>
      </c>
      <c r="D99" s="92">
        <f>B99*1</f>
        <v>909.4272000000002</v>
      </c>
      <c r="E99" s="92">
        <f>B99*1.1</f>
        <v>1000.3699200000003</v>
      </c>
      <c r="F99" s="79" t="s">
        <v>163</v>
      </c>
      <c r="H99"/>
      <c r="I99"/>
      <c r="J99"/>
      <c r="K99"/>
    </row>
    <row r="100" spans="1:13" x14ac:dyDescent="0.25">
      <c r="A100" s="183" t="s">
        <v>297</v>
      </c>
      <c r="B100" s="186">
        <f t="shared" ref="B100" si="10">50*3*32*($B$65/$B$3)</f>
        <v>638.0812309084738</v>
      </c>
      <c r="C100" s="186">
        <f>B100*0.9</f>
        <v>574.2731078176264</v>
      </c>
      <c r="D100" s="186">
        <f>B100</f>
        <v>638.0812309084738</v>
      </c>
      <c r="E100" s="186">
        <f>B100*1.1</f>
        <v>701.8893539993212</v>
      </c>
      <c r="F100" s="168" t="s">
        <v>298</v>
      </c>
      <c r="H100"/>
      <c r="I100"/>
      <c r="J100"/>
      <c r="K100"/>
    </row>
    <row r="101" spans="1:13" x14ac:dyDescent="0.25">
      <c r="A101" s="104" t="s">
        <v>7</v>
      </c>
      <c r="B101" s="92">
        <f>'Current - Aerobic (EnviroPure)'!B59</f>
        <v>2500</v>
      </c>
      <c r="C101" s="92">
        <f>'Current - Aerobic (EnviroPure)'!C59</f>
        <v>2250</v>
      </c>
      <c r="D101" s="92">
        <f>'Current - Aerobic (EnviroPure)'!D59</f>
        <v>2500</v>
      </c>
      <c r="E101" s="92">
        <f>'Current - Aerobic (EnviroPure)'!E59</f>
        <v>2750</v>
      </c>
      <c r="F101" s="79" t="s">
        <v>191</v>
      </c>
      <c r="H101"/>
      <c r="I101"/>
      <c r="J101"/>
      <c r="K101"/>
    </row>
    <row r="102" spans="1:13" x14ac:dyDescent="0.25">
      <c r="A102" s="165" t="s">
        <v>290</v>
      </c>
      <c r="B102" s="163">
        <f>15*B76*32</f>
        <v>114.85462156352528</v>
      </c>
      <c r="C102" s="163">
        <f t="shared" ref="C102" si="11">B102*0.9</f>
        <v>103.36915940717276</v>
      </c>
      <c r="D102" s="163">
        <f t="shared" ref="D102" si="12">B102*1</f>
        <v>114.85462156352528</v>
      </c>
      <c r="E102" s="163">
        <f t="shared" ref="E102" si="13">B102*1.1</f>
        <v>126.34008371987782</v>
      </c>
      <c r="F102" s="164" t="s">
        <v>291</v>
      </c>
      <c r="H102"/>
      <c r="I102"/>
      <c r="J102"/>
      <c r="K102"/>
    </row>
    <row r="103" spans="1:13" x14ac:dyDescent="0.25">
      <c r="A103" s="106" t="s">
        <v>214</v>
      </c>
      <c r="B103" s="94">
        <f>SUM(B95:B101)</f>
        <v>7141.2364309084742</v>
      </c>
      <c r="C103" s="94">
        <f>SUM(C95:C101)</f>
        <v>6043.1127878176267</v>
      </c>
      <c r="D103" s="94">
        <f>SUM(D95:D101)</f>
        <v>7141.2364309084742</v>
      </c>
      <c r="E103" s="94">
        <f>SUM(E95:E101)</f>
        <v>8879.3600739993217</v>
      </c>
      <c r="F103" s="79"/>
      <c r="H103"/>
      <c r="I103"/>
      <c r="J103"/>
      <c r="K103"/>
    </row>
    <row r="104" spans="1:13" x14ac:dyDescent="0.25">
      <c r="A104" s="122" t="s">
        <v>212</v>
      </c>
      <c r="B104" s="123">
        <f>B92+B103</f>
        <v>11105.269749597011</v>
      </c>
      <c r="C104" s="123">
        <f>C92+C103</f>
        <v>9219.7672594099276</v>
      </c>
      <c r="D104" s="123">
        <f>D92+D103</f>
        <v>11105.269749597011</v>
      </c>
      <c r="E104" s="123">
        <f>E92+E103</f>
        <v>13686.44920100323</v>
      </c>
      <c r="F104" s="124" t="s">
        <v>213</v>
      </c>
      <c r="H104"/>
      <c r="I104"/>
      <c r="J104"/>
      <c r="K104"/>
    </row>
    <row r="105" spans="1:13" x14ac:dyDescent="0.25">
      <c r="A105" s="105"/>
      <c r="B105" s="91"/>
      <c r="C105" s="91"/>
      <c r="D105" s="91"/>
      <c r="E105" s="91"/>
      <c r="F105" s="80"/>
      <c r="H105"/>
      <c r="I105"/>
      <c r="J105"/>
      <c r="K105"/>
    </row>
    <row r="106" spans="1:13" x14ac:dyDescent="0.25">
      <c r="A106" s="369" t="s">
        <v>165</v>
      </c>
      <c r="B106" s="369"/>
      <c r="C106" s="369"/>
      <c r="D106" s="369"/>
      <c r="E106" s="369"/>
      <c r="F106" s="110"/>
      <c r="H106"/>
      <c r="I106"/>
      <c r="J106"/>
      <c r="K106"/>
    </row>
    <row r="107" spans="1:13" x14ac:dyDescent="0.25">
      <c r="A107" s="98" t="s">
        <v>221</v>
      </c>
      <c r="B107" s="92"/>
      <c r="C107" s="92"/>
      <c r="D107" s="92"/>
      <c r="E107" s="92"/>
      <c r="F107" s="79"/>
      <c r="H107"/>
      <c r="I107"/>
      <c r="J107"/>
      <c r="K107"/>
    </row>
    <row r="108" spans="1:13" x14ac:dyDescent="0.25">
      <c r="A108" s="99" t="s">
        <v>169</v>
      </c>
      <c r="B108" s="92">
        <f>'Biogas to electricity - Input'!$D$35*(B65/B3)</f>
        <v>608.19387198377694</v>
      </c>
      <c r="C108" s="92">
        <f>B108*0.9</f>
        <v>547.37448478539932</v>
      </c>
      <c r="D108" s="92">
        <f>B108</f>
        <v>608.19387198377694</v>
      </c>
      <c r="E108" s="92">
        <f>B108*1.1</f>
        <v>669.01325918215468</v>
      </c>
      <c r="F108" s="79" t="s">
        <v>168</v>
      </c>
      <c r="H108"/>
      <c r="I108"/>
      <c r="J108"/>
      <c r="K108"/>
      <c r="L108"/>
      <c r="M108"/>
    </row>
    <row r="109" spans="1:13" x14ac:dyDescent="0.25">
      <c r="A109" s="100" t="s">
        <v>180</v>
      </c>
      <c r="B109" s="92">
        <f>'Biogas to electricity - Input'!$F$35*(B65/B3)</f>
        <v>24.775769155610757</v>
      </c>
      <c r="C109" s="92">
        <f>B109*0.9</f>
        <v>22.29819224004968</v>
      </c>
      <c r="D109" s="92">
        <f>B109</f>
        <v>24.775769155610757</v>
      </c>
      <c r="E109" s="92">
        <f>B109*1.1</f>
        <v>27.253346071171833</v>
      </c>
      <c r="F109" s="79" t="s">
        <v>166</v>
      </c>
      <c r="H109"/>
      <c r="I109"/>
      <c r="J109"/>
      <c r="K109"/>
      <c r="L109"/>
      <c r="M109"/>
    </row>
    <row r="110" spans="1:13" x14ac:dyDescent="0.25">
      <c r="A110" s="99" t="s">
        <v>167</v>
      </c>
      <c r="B110" s="92">
        <f>'Biogas to electricity - Input'!$E$35*(B65/B3)</f>
        <v>115.65061555696877</v>
      </c>
      <c r="C110" s="92">
        <f>B110*0.9</f>
        <v>104.0855540012719</v>
      </c>
      <c r="D110" s="92">
        <f>B110</f>
        <v>115.65061555696877</v>
      </c>
      <c r="E110" s="92">
        <f>B110*1.1</f>
        <v>127.21567711266566</v>
      </c>
      <c r="F110" s="79" t="s">
        <v>168</v>
      </c>
      <c r="H110"/>
      <c r="I110"/>
      <c r="J110"/>
      <c r="K110"/>
      <c r="L110"/>
      <c r="M110"/>
    </row>
    <row r="111" spans="1:13" x14ac:dyDescent="0.25">
      <c r="A111" s="99" t="s">
        <v>170</v>
      </c>
      <c r="B111" s="92">
        <f>'Alton report, Credit Sales'!$D$31*(B65/B3)</f>
        <v>-369.71386184191243</v>
      </c>
      <c r="C111" s="92">
        <f>B111*0.9</f>
        <v>-332.74247565772117</v>
      </c>
      <c r="D111" s="92">
        <f>B111</f>
        <v>-369.71386184191243</v>
      </c>
      <c r="E111" s="92">
        <f>B111*1.1</f>
        <v>-406.68524802610369</v>
      </c>
      <c r="F111" s="79"/>
      <c r="H111"/>
      <c r="I111"/>
      <c r="J111"/>
      <c r="K111"/>
      <c r="L111"/>
      <c r="M111"/>
    </row>
    <row r="112" spans="1:13" x14ac:dyDescent="0.25">
      <c r="A112" s="98" t="s">
        <v>217</v>
      </c>
      <c r="B112" s="91">
        <f>SUM(B108:B111)</f>
        <v>378.90639485444404</v>
      </c>
      <c r="C112" s="91">
        <f>SUM(C108:C111)</f>
        <v>341.01575536899981</v>
      </c>
      <c r="D112" s="91">
        <f>SUM(D108:D111)</f>
        <v>378.90639485444404</v>
      </c>
      <c r="E112" s="91">
        <f>SUM(E108:E111)</f>
        <v>416.7970343398884</v>
      </c>
      <c r="F112" s="80" t="s">
        <v>218</v>
      </c>
      <c r="K112"/>
      <c r="L112"/>
      <c r="M112"/>
    </row>
    <row r="113" spans="1:13" x14ac:dyDescent="0.25">
      <c r="A113" s="102"/>
      <c r="B113" s="79"/>
      <c r="C113" s="79"/>
      <c r="D113" s="79"/>
      <c r="E113" s="79"/>
      <c r="F113" s="79"/>
      <c r="K113"/>
      <c r="L113"/>
      <c r="M113"/>
    </row>
    <row r="114" spans="1:13" x14ac:dyDescent="0.25">
      <c r="A114" s="101" t="s">
        <v>222</v>
      </c>
      <c r="B114" s="79"/>
      <c r="C114" s="79"/>
      <c r="D114" s="79"/>
      <c r="E114" s="79"/>
      <c r="F114" s="79"/>
      <c r="K114"/>
      <c r="L114"/>
      <c r="M114"/>
    </row>
    <row r="115" spans="1:13" x14ac:dyDescent="0.25">
      <c r="A115" s="101" t="s">
        <v>219</v>
      </c>
      <c r="B115" s="79"/>
      <c r="C115" s="79"/>
      <c r="D115" s="79"/>
      <c r="E115" s="79"/>
      <c r="F115" s="79"/>
      <c r="K115"/>
      <c r="L115"/>
      <c r="M115"/>
    </row>
    <row r="116" spans="1:13" x14ac:dyDescent="0.25">
      <c r="A116" s="100" t="s">
        <v>55</v>
      </c>
      <c r="B116" s="92">
        <f>'Alton report, Credit Sales'!$C$28*(1.6/12)</f>
        <v>1288.5628162867197</v>
      </c>
      <c r="C116" s="92">
        <f>'Alton report, Credit Sales'!$C$27*0.75*(1.6/12)</f>
        <v>483.21105610751994</v>
      </c>
      <c r="D116" s="92">
        <f>B116</f>
        <v>1288.5628162867197</v>
      </c>
      <c r="E116" s="92">
        <f>'Alton report, Credit Sales'!$C$27*2.75*(1.6/12)</f>
        <v>1771.7738723942396</v>
      </c>
      <c r="F116" s="79" t="s">
        <v>361</v>
      </c>
    </row>
    <row r="117" spans="1:13" x14ac:dyDescent="0.25">
      <c r="A117" s="108" t="s">
        <v>173</v>
      </c>
      <c r="B117" s="92">
        <f>'Alton report, Credit Sales'!$E$5*(1.6/12)</f>
        <v>291.85397121023999</v>
      </c>
      <c r="C117" s="92">
        <f>'Alton report, Credit Sales'!$C$5*50*(1.6/12)</f>
        <v>145.92698560512</v>
      </c>
      <c r="D117" s="92">
        <f>B117</f>
        <v>291.85397121023999</v>
      </c>
      <c r="E117" s="92">
        <f>'Alton report, Credit Sales'!$C$5*150*(1.6/12)</f>
        <v>437.78095681536001</v>
      </c>
      <c r="F117" s="79" t="s">
        <v>174</v>
      </c>
    </row>
    <row r="118" spans="1:13" x14ac:dyDescent="0.25">
      <c r="A118" s="101" t="s">
        <v>220</v>
      </c>
      <c r="B118" s="92">
        <f>SUM(B116:B117)</f>
        <v>1580.4167874969596</v>
      </c>
      <c r="C118" s="92">
        <f>SUM(C116:C117)</f>
        <v>629.13804171263996</v>
      </c>
      <c r="D118" s="92">
        <f>SUM(D116:D117)</f>
        <v>1580.4167874969596</v>
      </c>
      <c r="E118" s="92">
        <f>SUM(E116:E117)</f>
        <v>2209.5548292095996</v>
      </c>
      <c r="F118" s="79"/>
    </row>
    <row r="119" spans="1:13" x14ac:dyDescent="0.25">
      <c r="A119" s="99" t="s">
        <v>172</v>
      </c>
      <c r="B119" s="92">
        <f>'Alton report, Credit Sales'!$C$39*(1.6/12)</f>
        <v>164.56235726797701</v>
      </c>
      <c r="C119" s="92">
        <f>D119*0.9</f>
        <v>148.10612154117931</v>
      </c>
      <c r="D119" s="92">
        <f>B119</f>
        <v>164.56235726797701</v>
      </c>
      <c r="E119" s="92">
        <f>B119*1.1</f>
        <v>181.01859299477474</v>
      </c>
      <c r="F119" s="79" t="s">
        <v>343</v>
      </c>
    </row>
    <row r="120" spans="1:13" x14ac:dyDescent="0.25">
      <c r="A120" s="109" t="s">
        <v>175</v>
      </c>
      <c r="B120" s="92">
        <f>B57*(1.6/12)</f>
        <v>-24.295390999622139</v>
      </c>
      <c r="C120" s="92">
        <f>B120*0.9</f>
        <v>-21.865851899659926</v>
      </c>
      <c r="D120" s="92">
        <f>B120</f>
        <v>-24.295390999622139</v>
      </c>
      <c r="E120" s="92">
        <f>B120*1.1</f>
        <v>-26.724930099584356</v>
      </c>
      <c r="F120" s="79" t="s">
        <v>227</v>
      </c>
    </row>
    <row r="121" spans="1:13" x14ac:dyDescent="0.25">
      <c r="A121" s="109" t="s">
        <v>324</v>
      </c>
      <c r="B121" s="92">
        <f>B58*(1.6/12)</f>
        <v>-552.35004740055308</v>
      </c>
      <c r="C121" s="92">
        <f>B121*0.9</f>
        <v>-497.11504266049781</v>
      </c>
      <c r="D121" s="92">
        <f>B121</f>
        <v>-552.35004740055308</v>
      </c>
      <c r="E121" s="92">
        <f>B121*1.1</f>
        <v>-607.58505214060847</v>
      </c>
      <c r="F121" s="79" t="s">
        <v>332</v>
      </c>
    </row>
    <row r="122" spans="1:13" x14ac:dyDescent="0.25">
      <c r="A122" s="109" t="s">
        <v>331</v>
      </c>
      <c r="B122" s="92">
        <f>(B116+B117)*20%*(-1)</f>
        <v>-316.08335749939192</v>
      </c>
      <c r="C122" s="92">
        <f>(C116+C117)*20%*(-1)</f>
        <v>-125.82760834252799</v>
      </c>
      <c r="D122" s="92">
        <f>(D116+D117)*20%*(-1)</f>
        <v>-316.08335749939192</v>
      </c>
      <c r="E122" s="92">
        <f>(E116+E117)*20%*(-1)</f>
        <v>-441.91096584191996</v>
      </c>
      <c r="F122" s="79" t="s">
        <v>252</v>
      </c>
    </row>
    <row r="123" spans="1:13" x14ac:dyDescent="0.25">
      <c r="A123" s="105" t="s">
        <v>226</v>
      </c>
      <c r="B123" s="94">
        <f>SUM(B118:B122)</f>
        <v>852.25034886536946</v>
      </c>
      <c r="C123" s="94">
        <f>SUM(C118:C122)</f>
        <v>132.43566035113355</v>
      </c>
      <c r="D123" s="94">
        <f>SUM(D118:D122)</f>
        <v>852.25034886536946</v>
      </c>
      <c r="E123" s="94">
        <f>SUM(E118:E122)</f>
        <v>1314.3524741222614</v>
      </c>
      <c r="F123" s="93" t="s">
        <v>225</v>
      </c>
    </row>
    <row r="124" spans="1:13" x14ac:dyDescent="0.25">
      <c r="A124" s="101"/>
      <c r="B124" s="92"/>
      <c r="C124" s="92"/>
      <c r="D124" s="92"/>
      <c r="E124" s="92"/>
      <c r="F124" s="79"/>
    </row>
    <row r="125" spans="1:13" x14ac:dyDescent="0.25">
      <c r="A125" s="101" t="s">
        <v>179</v>
      </c>
      <c r="B125" s="92">
        <v>0</v>
      </c>
      <c r="C125" s="92">
        <v>0</v>
      </c>
      <c r="D125" s="92">
        <v>0</v>
      </c>
      <c r="E125" s="92">
        <v>0</v>
      </c>
      <c r="F125" s="79"/>
    </row>
  </sheetData>
  <mergeCells count="9">
    <mergeCell ref="A1:B1"/>
    <mergeCell ref="A63:B63"/>
    <mergeCell ref="A43:E43"/>
    <mergeCell ref="A106:E106"/>
    <mergeCell ref="A17:E17"/>
    <mergeCell ref="C18:E18"/>
    <mergeCell ref="A80:E80"/>
    <mergeCell ref="C81:E81"/>
    <mergeCell ref="A24:E2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2"/>
  <sheetViews>
    <sheetView workbookViewId="0">
      <selection activeCell="B22" sqref="B22:E22"/>
    </sheetView>
  </sheetViews>
  <sheetFormatPr defaultRowHeight="15" x14ac:dyDescent="0.25"/>
  <cols>
    <col min="1" max="1" width="38.140625" style="83" bestFit="1" customWidth="1"/>
    <col min="2" max="2" width="15" style="78" bestFit="1" customWidth="1"/>
    <col min="3" max="3" width="19.140625" style="78" bestFit="1" customWidth="1"/>
    <col min="4" max="4" width="12.7109375" style="78" bestFit="1" customWidth="1"/>
    <col min="5" max="5" width="13.140625" style="78" bestFit="1" customWidth="1"/>
    <col min="6" max="6" width="87.85546875" style="78" bestFit="1" customWidth="1"/>
    <col min="7" max="16384" width="9.140625" style="78"/>
  </cols>
  <sheetData>
    <row r="1" spans="1:2" x14ac:dyDescent="0.25">
      <c r="A1" s="336" t="s">
        <v>208</v>
      </c>
      <c r="B1" s="336"/>
    </row>
    <row r="2" spans="1:2" x14ac:dyDescent="0.25">
      <c r="A2" s="102" t="s">
        <v>193</v>
      </c>
      <c r="B2" s="79">
        <f>'Food waste'!$B$3</f>
        <v>24000</v>
      </c>
    </row>
    <row r="3" spans="1:2" x14ac:dyDescent="0.25">
      <c r="A3" s="101" t="s">
        <v>194</v>
      </c>
      <c r="B3" s="80">
        <f>B2/2000</f>
        <v>12</v>
      </c>
    </row>
    <row r="4" spans="1:2" x14ac:dyDescent="0.25">
      <c r="A4" s="103" t="s">
        <v>202</v>
      </c>
      <c r="B4" s="75">
        <v>0.15</v>
      </c>
    </row>
    <row r="5" spans="1:2" x14ac:dyDescent="0.25">
      <c r="A5" s="103" t="s">
        <v>203</v>
      </c>
      <c r="B5" s="75">
        <v>0.85</v>
      </c>
    </row>
    <row r="6" spans="1:2" x14ac:dyDescent="0.25">
      <c r="A6" s="102" t="s">
        <v>204</v>
      </c>
      <c r="B6" s="79">
        <f>B3*B4</f>
        <v>1.7999999999999998</v>
      </c>
    </row>
    <row r="7" spans="1:2" x14ac:dyDescent="0.25">
      <c r="A7" s="102" t="s">
        <v>195</v>
      </c>
      <c r="B7" s="87">
        <f>'Food waste'!$H$18*(2/5)</f>
        <v>3600</v>
      </c>
    </row>
    <row r="8" spans="1:2" x14ac:dyDescent="0.25">
      <c r="A8" s="102" t="s">
        <v>196</v>
      </c>
      <c r="B8" s="79">
        <f>B7/250</f>
        <v>14.4</v>
      </c>
    </row>
    <row r="9" spans="1:2" x14ac:dyDescent="0.25">
      <c r="A9" s="102"/>
      <c r="B9" s="79"/>
    </row>
    <row r="10" spans="1:2" x14ac:dyDescent="0.25">
      <c r="A10" s="101" t="s">
        <v>238</v>
      </c>
      <c r="B10" s="89">
        <v>0.125</v>
      </c>
    </row>
    <row r="11" spans="1:2" x14ac:dyDescent="0.25">
      <c r="A11" s="102" t="s">
        <v>201</v>
      </c>
      <c r="B11" s="79">
        <f>B8+B3</f>
        <v>26.4</v>
      </c>
    </row>
    <row r="12" spans="1:2" x14ac:dyDescent="0.25">
      <c r="A12" s="103" t="s">
        <v>205</v>
      </c>
      <c r="B12" s="76">
        <f>((B3*15%)+(B8*0%))/B11</f>
        <v>6.8181818181818177E-2</v>
      </c>
    </row>
    <row r="13" spans="1:2" x14ac:dyDescent="0.25">
      <c r="A13" s="101" t="s">
        <v>200</v>
      </c>
      <c r="B13" s="80">
        <f>B11*B10</f>
        <v>3.3</v>
      </c>
    </row>
    <row r="14" spans="1:2" x14ac:dyDescent="0.25">
      <c r="A14" s="103" t="s">
        <v>206</v>
      </c>
      <c r="B14" s="73">
        <f>(B11*B12)</f>
        <v>1.7999999999999998</v>
      </c>
    </row>
    <row r="15" spans="1:2" x14ac:dyDescent="0.25">
      <c r="A15" s="104" t="s">
        <v>207</v>
      </c>
      <c r="B15" s="111">
        <f>B14/B13</f>
        <v>0.54545454545454541</v>
      </c>
    </row>
    <row r="17" spans="1:8" x14ac:dyDescent="0.25">
      <c r="A17" s="352" t="s">
        <v>181</v>
      </c>
      <c r="B17" s="352"/>
      <c r="C17" s="352"/>
      <c r="D17" s="352"/>
      <c r="E17" s="352"/>
      <c r="F17" s="84"/>
    </row>
    <row r="18" spans="1:8" x14ac:dyDescent="0.25">
      <c r="A18" s="113"/>
      <c r="B18" s="114" t="s">
        <v>144</v>
      </c>
      <c r="C18" s="356" t="s">
        <v>145</v>
      </c>
      <c r="D18" s="356"/>
      <c r="E18" s="356"/>
      <c r="F18" s="84"/>
    </row>
    <row r="19" spans="1:8" x14ac:dyDescent="0.25">
      <c r="A19" s="113"/>
      <c r="B19" s="115"/>
      <c r="C19" s="114" t="s">
        <v>146</v>
      </c>
      <c r="D19" s="114" t="s">
        <v>147</v>
      </c>
      <c r="E19" s="114" t="s">
        <v>148</v>
      </c>
      <c r="F19" s="84"/>
    </row>
    <row r="20" spans="1:8" x14ac:dyDescent="0.25">
      <c r="A20" s="113" t="s">
        <v>158</v>
      </c>
      <c r="B20" s="115">
        <f>6*50000</f>
        <v>300000</v>
      </c>
      <c r="C20" s="115">
        <f>B20*0.5</f>
        <v>150000</v>
      </c>
      <c r="D20" s="115">
        <f>B20*0.75</f>
        <v>225000</v>
      </c>
      <c r="E20" s="115">
        <f>B20*1</f>
        <v>300000</v>
      </c>
      <c r="F20" s="84"/>
    </row>
    <row r="21" spans="1:8" x14ac:dyDescent="0.25">
      <c r="A21" s="101" t="s">
        <v>159</v>
      </c>
      <c r="B21" s="92">
        <f>'Food waste'!N37*80</f>
        <v>2640</v>
      </c>
      <c r="C21" s="92">
        <v>0</v>
      </c>
      <c r="D21" s="92">
        <v>0</v>
      </c>
      <c r="E21" s="92">
        <v>0</v>
      </c>
      <c r="F21" s="168" t="s">
        <v>292</v>
      </c>
    </row>
    <row r="22" spans="1:8" x14ac:dyDescent="0.25">
      <c r="A22" s="247" t="s">
        <v>294</v>
      </c>
      <c r="B22" s="248">
        <v>0</v>
      </c>
      <c r="C22" s="248">
        <v>65000</v>
      </c>
      <c r="D22" s="248">
        <v>85000</v>
      </c>
      <c r="E22" s="248">
        <v>110000</v>
      </c>
      <c r="F22" s="79"/>
    </row>
    <row r="23" spans="1:8" x14ac:dyDescent="0.25">
      <c r="A23" s="188" t="s">
        <v>103</v>
      </c>
      <c r="B23" s="186">
        <f>SUM(B20:B21)</f>
        <v>302640</v>
      </c>
      <c r="C23" s="186">
        <f t="shared" ref="C23:E23" si="0">SUM(C20:C22)</f>
        <v>215000</v>
      </c>
      <c r="D23" s="186">
        <f t="shared" si="0"/>
        <v>310000</v>
      </c>
      <c r="E23" s="186">
        <f t="shared" si="0"/>
        <v>410000</v>
      </c>
      <c r="F23" s="84"/>
    </row>
    <row r="24" spans="1:8" x14ac:dyDescent="0.25">
      <c r="A24" s="113"/>
      <c r="B24" s="115"/>
      <c r="C24" s="116" t="s">
        <v>151</v>
      </c>
      <c r="D24" s="116"/>
      <c r="E24" s="116"/>
      <c r="F24" s="84"/>
    </row>
    <row r="25" spans="1:8" x14ac:dyDescent="0.25">
      <c r="A25" s="98" t="s">
        <v>103</v>
      </c>
      <c r="B25" s="153">
        <f>D25</f>
        <v>612640</v>
      </c>
      <c r="C25" s="92">
        <f>SUM(B23,C23)</f>
        <v>517640</v>
      </c>
      <c r="D25" s="92">
        <f>SUM(B23,D23)</f>
        <v>612640</v>
      </c>
      <c r="E25" s="92">
        <f>SUM(B23,E23)</f>
        <v>712640</v>
      </c>
      <c r="F25" s="79" t="s">
        <v>276</v>
      </c>
      <c r="H25"/>
    </row>
    <row r="26" spans="1:8" x14ac:dyDescent="0.25">
      <c r="A26" s="101" t="s">
        <v>270</v>
      </c>
      <c r="B26" s="147">
        <v>0.03</v>
      </c>
      <c r="C26" s="148">
        <v>0.03</v>
      </c>
      <c r="D26" s="148">
        <v>0.03</v>
      </c>
      <c r="E26" s="148">
        <v>0.03</v>
      </c>
      <c r="F26" s="79" t="s">
        <v>271</v>
      </c>
      <c r="H26"/>
    </row>
    <row r="27" spans="1:8" x14ac:dyDescent="0.25">
      <c r="A27" s="101" t="s">
        <v>273</v>
      </c>
      <c r="B27" s="149">
        <v>15</v>
      </c>
      <c r="C27" s="150">
        <v>15</v>
      </c>
      <c r="D27" s="150">
        <v>15</v>
      </c>
      <c r="E27" s="150">
        <v>15</v>
      </c>
      <c r="F27" s="79" t="s">
        <v>277</v>
      </c>
      <c r="H27"/>
    </row>
    <row r="28" spans="1:8" x14ac:dyDescent="0.25">
      <c r="A28" s="101" t="s">
        <v>274</v>
      </c>
      <c r="B28" s="56">
        <f>(((1+B26)^B27)-1)/(B26*(1+B26)^B27)</f>
        <v>11.937935086776077</v>
      </c>
      <c r="C28" s="56">
        <f t="shared" ref="C28:E28" si="1">(((1+C26)^C27)-1)/(C26*(1+C26)^C27)</f>
        <v>11.937935086776077</v>
      </c>
      <c r="D28" s="56">
        <f t="shared" si="1"/>
        <v>11.937935086776077</v>
      </c>
      <c r="E28" s="56">
        <f t="shared" si="1"/>
        <v>11.937935086776077</v>
      </c>
      <c r="F28" s="79"/>
      <c r="H28"/>
    </row>
    <row r="29" spans="1:8" x14ac:dyDescent="0.25">
      <c r="A29" s="101" t="s">
        <v>269</v>
      </c>
      <c r="B29" s="91">
        <f t="shared" ref="B29:E29" si="2">B25/B28</f>
        <v>51318.757854416152</v>
      </c>
      <c r="C29" s="92">
        <f t="shared" si="2"/>
        <v>43360.93271049879</v>
      </c>
      <c r="D29" s="92">
        <f t="shared" si="2"/>
        <v>51318.757854416152</v>
      </c>
      <c r="E29" s="92">
        <f t="shared" si="2"/>
        <v>59695.415900644955</v>
      </c>
      <c r="F29" s="79" t="s">
        <v>275</v>
      </c>
      <c r="H29"/>
    </row>
    <row r="30" spans="1:8" x14ac:dyDescent="0.25">
      <c r="A30" s="117"/>
      <c r="B30" s="115"/>
      <c r="C30" s="115"/>
      <c r="D30" s="115"/>
      <c r="E30" s="115"/>
      <c r="F30" s="84"/>
      <c r="H30"/>
    </row>
    <row r="31" spans="1:8" x14ac:dyDescent="0.25">
      <c r="A31" s="113" t="s">
        <v>211</v>
      </c>
      <c r="B31" s="115"/>
      <c r="C31" s="115"/>
      <c r="D31" s="115"/>
      <c r="E31" s="115"/>
      <c r="F31" s="84"/>
      <c r="G31"/>
      <c r="H31"/>
    </row>
    <row r="32" spans="1:8" x14ac:dyDescent="0.25">
      <c r="A32" s="108" t="s">
        <v>153</v>
      </c>
      <c r="B32" s="92">
        <f>B94*6</f>
        <v>600</v>
      </c>
      <c r="C32" s="92">
        <f t="shared" ref="C32:C39" si="3">B32*0.9</f>
        <v>540</v>
      </c>
      <c r="D32" s="92">
        <f t="shared" ref="D32:D39" si="4">B32*1</f>
        <v>600</v>
      </c>
      <c r="E32" s="92">
        <f t="shared" ref="E32:E39" si="5">B32*1.1</f>
        <v>660</v>
      </c>
      <c r="F32" s="79" t="s">
        <v>182</v>
      </c>
      <c r="G32"/>
      <c r="H32"/>
    </row>
    <row r="33" spans="1:12" ht="15" customHeight="1" x14ac:dyDescent="0.25">
      <c r="A33" s="108" t="s">
        <v>154</v>
      </c>
      <c r="B33" s="92">
        <f>((9000)*32)*3.35/1000*(2/5)</f>
        <v>385.92</v>
      </c>
      <c r="C33" s="92">
        <f t="shared" si="3"/>
        <v>347.32800000000003</v>
      </c>
      <c r="D33" s="92">
        <f t="shared" si="4"/>
        <v>385.92</v>
      </c>
      <c r="E33" s="92">
        <f t="shared" si="5"/>
        <v>424.51200000000006</v>
      </c>
      <c r="F33" s="95" t="s">
        <v>183</v>
      </c>
      <c r="G33"/>
      <c r="H33"/>
    </row>
    <row r="34" spans="1:12" x14ac:dyDescent="0.25">
      <c r="A34" s="108" t="s">
        <v>155</v>
      </c>
      <c r="B34" s="92">
        <f>((9000)*32)*4.18/1000*(2/5)</f>
        <v>481.536</v>
      </c>
      <c r="C34" s="92">
        <f t="shared" si="3"/>
        <v>433.38240000000002</v>
      </c>
      <c r="D34" s="92">
        <f t="shared" si="4"/>
        <v>481.536</v>
      </c>
      <c r="E34" s="92">
        <f t="shared" si="5"/>
        <v>529.68960000000004</v>
      </c>
      <c r="F34" s="79" t="s">
        <v>184</v>
      </c>
      <c r="G34"/>
      <c r="H34"/>
    </row>
    <row r="35" spans="1:12" x14ac:dyDescent="0.25">
      <c r="A35" s="104" t="s">
        <v>161</v>
      </c>
      <c r="B35" s="92">
        <f>D35</f>
        <v>19200</v>
      </c>
      <c r="C35" s="92">
        <f>50*3*32*3</f>
        <v>14400</v>
      </c>
      <c r="D35" s="92">
        <f>50*4*32*3</f>
        <v>19200</v>
      </c>
      <c r="E35" s="92">
        <f>50*6*32*3</f>
        <v>28800</v>
      </c>
      <c r="F35" s="79" t="s">
        <v>293</v>
      </c>
      <c r="G35"/>
      <c r="H35"/>
    </row>
    <row r="36" spans="1:12" x14ac:dyDescent="0.25">
      <c r="A36" s="108" t="s">
        <v>162</v>
      </c>
      <c r="B36" s="92">
        <f>21.53*((12+(9000/250*(2/5)))*(1/8))*32</f>
        <v>2273.5680000000002</v>
      </c>
      <c r="C36" s="92">
        <f t="shared" si="3"/>
        <v>2046.2112000000002</v>
      </c>
      <c r="D36" s="92">
        <f t="shared" si="4"/>
        <v>2273.5680000000002</v>
      </c>
      <c r="E36" s="92">
        <f t="shared" si="5"/>
        <v>2500.9248000000002</v>
      </c>
      <c r="F36" s="79" t="s">
        <v>163</v>
      </c>
      <c r="G36"/>
      <c r="H36"/>
    </row>
    <row r="37" spans="1:12" x14ac:dyDescent="0.25">
      <c r="A37" s="183" t="s">
        <v>297</v>
      </c>
      <c r="B37" s="186">
        <f>50*3*32</f>
        <v>4800</v>
      </c>
      <c r="C37" s="186">
        <f>B37*0.9</f>
        <v>4320</v>
      </c>
      <c r="D37" s="186">
        <f>B37</f>
        <v>4800</v>
      </c>
      <c r="E37" s="186">
        <f>B37*1.1</f>
        <v>5280</v>
      </c>
      <c r="F37" s="168" t="s">
        <v>298</v>
      </c>
      <c r="G37"/>
      <c r="H37"/>
    </row>
    <row r="38" spans="1:12" x14ac:dyDescent="0.25">
      <c r="A38" s="108" t="s">
        <v>164</v>
      </c>
      <c r="B38" s="118">
        <f>'Current - Aerobic (EnviroPure)'!B32</f>
        <v>15000</v>
      </c>
      <c r="C38" s="92">
        <f t="shared" si="3"/>
        <v>13500</v>
      </c>
      <c r="D38" s="92">
        <f t="shared" si="4"/>
        <v>15000</v>
      </c>
      <c r="E38" s="92">
        <f t="shared" si="5"/>
        <v>16500</v>
      </c>
      <c r="F38" s="84" t="s">
        <v>191</v>
      </c>
      <c r="G38"/>
      <c r="H38"/>
    </row>
    <row r="39" spans="1:12" x14ac:dyDescent="0.25">
      <c r="A39" s="165" t="s">
        <v>290</v>
      </c>
      <c r="B39" s="163">
        <f>15*B13*32</f>
        <v>1584</v>
      </c>
      <c r="C39" s="163">
        <f t="shared" si="3"/>
        <v>1425.6000000000001</v>
      </c>
      <c r="D39" s="163">
        <f t="shared" si="4"/>
        <v>1584</v>
      </c>
      <c r="E39" s="163">
        <f t="shared" si="5"/>
        <v>1742.4</v>
      </c>
      <c r="F39" s="164" t="s">
        <v>291</v>
      </c>
      <c r="G39"/>
      <c r="H39"/>
      <c r="L39"/>
    </row>
    <row r="40" spans="1:12" x14ac:dyDescent="0.25">
      <c r="A40" s="104" t="s">
        <v>214</v>
      </c>
      <c r="B40" s="120">
        <f>SUM(B32:B38)</f>
        <v>42741.023999999998</v>
      </c>
      <c r="C40" s="91">
        <f>SUM(C32:C38)</f>
        <v>35586.921600000001</v>
      </c>
      <c r="D40" s="91">
        <f>SUM(D32:D38)</f>
        <v>42741.023999999998</v>
      </c>
      <c r="E40" s="91">
        <f>SUM(E32:E38)</f>
        <v>54695.126400000001</v>
      </c>
      <c r="F40" s="84"/>
      <c r="G40"/>
      <c r="H40"/>
      <c r="L40"/>
    </row>
    <row r="41" spans="1:12" x14ac:dyDescent="0.25">
      <c r="A41" s="122" t="s">
        <v>212</v>
      </c>
      <c r="B41" s="123">
        <f>B29+B40</f>
        <v>94059.781854416156</v>
      </c>
      <c r="C41" s="123">
        <f>C29+C40</f>
        <v>78947.854310498791</v>
      </c>
      <c r="D41" s="123">
        <f>D29+D40</f>
        <v>94059.781854416156</v>
      </c>
      <c r="E41" s="123">
        <f>E29+E40</f>
        <v>114390.54230064496</v>
      </c>
      <c r="F41" s="124" t="s">
        <v>213</v>
      </c>
      <c r="G41"/>
      <c r="H41"/>
      <c r="L41"/>
    </row>
    <row r="42" spans="1:12" x14ac:dyDescent="0.25">
      <c r="A42" s="105"/>
      <c r="B42" s="92"/>
      <c r="C42" s="92"/>
      <c r="D42" s="92"/>
      <c r="E42" s="92"/>
      <c r="F42" s="79"/>
      <c r="G42"/>
      <c r="H42"/>
      <c r="L42"/>
    </row>
    <row r="43" spans="1:12" x14ac:dyDescent="0.25">
      <c r="A43" s="369" t="s">
        <v>165</v>
      </c>
      <c r="B43" s="369"/>
      <c r="C43" s="369"/>
      <c r="D43" s="369"/>
      <c r="E43" s="369"/>
      <c r="F43" s="79"/>
      <c r="G43"/>
      <c r="H43"/>
      <c r="L43"/>
    </row>
    <row r="44" spans="1:12" x14ac:dyDescent="0.25">
      <c r="A44" s="80" t="s">
        <v>221</v>
      </c>
      <c r="B44" s="79"/>
      <c r="C44" s="4"/>
      <c r="D44" s="4"/>
      <c r="E44" s="4"/>
      <c r="F44" s="79"/>
      <c r="H44"/>
      <c r="L44"/>
    </row>
    <row r="45" spans="1:12" x14ac:dyDescent="0.25">
      <c r="A45" s="99" t="s">
        <v>169</v>
      </c>
      <c r="B45" s="92">
        <f>'Biogas to electricity - Input'!$D$35</f>
        <v>4575.170752735834</v>
      </c>
      <c r="C45" s="92">
        <f>B45*0.9</f>
        <v>4117.6536774622509</v>
      </c>
      <c r="D45" s="92">
        <f>B45</f>
        <v>4575.170752735834</v>
      </c>
      <c r="E45" s="92">
        <f>B45*1.1</f>
        <v>5032.6878280094179</v>
      </c>
      <c r="F45" s="79" t="s">
        <v>168</v>
      </c>
      <c r="H45"/>
      <c r="L45"/>
    </row>
    <row r="46" spans="1:12" x14ac:dyDescent="0.25">
      <c r="A46" s="100" t="s">
        <v>180</v>
      </c>
      <c r="B46" s="92">
        <f>'Biogas to electricity - Input'!$F$35</f>
        <v>186.37704133314341</v>
      </c>
      <c r="C46" s="92">
        <f>B46*0.9</f>
        <v>167.73933719982907</v>
      </c>
      <c r="D46" s="92">
        <f>B46</f>
        <v>186.37704133314341</v>
      </c>
      <c r="E46" s="92">
        <f>B46*1.1</f>
        <v>205.01474546645775</v>
      </c>
      <c r="F46" s="79" t="s">
        <v>166</v>
      </c>
      <c r="H46"/>
      <c r="L46"/>
    </row>
    <row r="47" spans="1:12" x14ac:dyDescent="0.25">
      <c r="A47" s="99" t="s">
        <v>167</v>
      </c>
      <c r="B47" s="92">
        <f>'Biogas to electricity - Input'!$E$35</f>
        <v>869.9879071557848</v>
      </c>
      <c r="C47" s="92">
        <f>B47*0.9</f>
        <v>782.98911644020632</v>
      </c>
      <c r="D47" s="92">
        <f>B47</f>
        <v>869.9879071557848</v>
      </c>
      <c r="E47" s="92">
        <f>B47*1.1</f>
        <v>956.98669787136339</v>
      </c>
      <c r="F47" s="79" t="s">
        <v>168</v>
      </c>
      <c r="H47"/>
      <c r="L47"/>
    </row>
    <row r="48" spans="1:12" x14ac:dyDescent="0.25">
      <c r="A48" s="99" t="s">
        <v>170</v>
      </c>
      <c r="B48" s="92">
        <f>'Alton report, Credit Sales'!$D$31</f>
        <v>-2781.1921913367355</v>
      </c>
      <c r="C48" s="92">
        <f>B48*0.9</f>
        <v>-2503.0729722030619</v>
      </c>
      <c r="D48" s="92">
        <f>B48</f>
        <v>-2781.1921913367355</v>
      </c>
      <c r="E48" s="92">
        <f>B48*1.1</f>
        <v>-3059.3114104704091</v>
      </c>
      <c r="F48" s="79"/>
      <c r="H48"/>
      <c r="L48"/>
    </row>
    <row r="49" spans="1:12" x14ac:dyDescent="0.25">
      <c r="A49" s="97" t="s">
        <v>171</v>
      </c>
      <c r="B49" s="94">
        <f>SUM(B45:B48)</f>
        <v>2850.3435098880268</v>
      </c>
      <c r="C49" s="94">
        <f>SUM(C45:C48)</f>
        <v>2565.3091588992238</v>
      </c>
      <c r="D49" s="94">
        <f>SUM(D45:D48)</f>
        <v>2850.3435098880268</v>
      </c>
      <c r="E49" s="94">
        <f>SUM(E45:E48)</f>
        <v>3135.3778608768298</v>
      </c>
      <c r="F49" s="93" t="s">
        <v>218</v>
      </c>
      <c r="H49"/>
      <c r="I49"/>
      <c r="L49"/>
    </row>
    <row r="50" spans="1:12" x14ac:dyDescent="0.25">
      <c r="A50" s="102"/>
      <c r="B50" s="79"/>
      <c r="C50" s="79"/>
      <c r="D50" s="79"/>
      <c r="E50" s="79"/>
      <c r="F50" s="79"/>
      <c r="I50"/>
    </row>
    <row r="51" spans="1:12" x14ac:dyDescent="0.25">
      <c r="A51" s="101" t="s">
        <v>222</v>
      </c>
      <c r="B51" s="79"/>
      <c r="C51" s="79"/>
      <c r="D51" s="79"/>
      <c r="E51" s="79"/>
      <c r="F51" s="79"/>
      <c r="I51"/>
    </row>
    <row r="52" spans="1:12" x14ac:dyDescent="0.25">
      <c r="A52" s="101" t="s">
        <v>219</v>
      </c>
      <c r="B52" s="79"/>
      <c r="C52" s="79"/>
      <c r="D52" s="79"/>
      <c r="E52" s="79"/>
      <c r="F52" s="79"/>
      <c r="I52"/>
    </row>
    <row r="53" spans="1:12" x14ac:dyDescent="0.25">
      <c r="A53" s="100" t="s">
        <v>55</v>
      </c>
      <c r="B53" s="92">
        <f>'Alton report, Credit Sales'!$C$28</f>
        <v>9664.2211221503985</v>
      </c>
      <c r="C53" s="92">
        <f>'Alton report, Credit Sales'!$C$27*0.75</f>
        <v>3624.0829208063997</v>
      </c>
      <c r="D53" s="92">
        <f>B53</f>
        <v>9664.2211221503985</v>
      </c>
      <c r="E53" s="92">
        <f>'Alton report, Credit Sales'!$C$27*2.75</f>
        <v>13288.304042956797</v>
      </c>
      <c r="F53" s="79" t="s">
        <v>361</v>
      </c>
      <c r="I53"/>
    </row>
    <row r="54" spans="1:12" x14ac:dyDescent="0.25">
      <c r="A54" s="108" t="s">
        <v>173</v>
      </c>
      <c r="B54" s="92">
        <f>'Alton report, Credit Sales'!$E$5</f>
        <v>2188.9047840767998</v>
      </c>
      <c r="C54" s="92">
        <f>'Alton report, Credit Sales'!$C$5*50</f>
        <v>1094.4523920383999</v>
      </c>
      <c r="D54" s="92">
        <f>B54</f>
        <v>2188.9047840767998</v>
      </c>
      <c r="E54" s="92">
        <f>'Alton report, Credit Sales'!$C$5*150</f>
        <v>3283.3571761152002</v>
      </c>
      <c r="F54" s="79" t="s">
        <v>174</v>
      </c>
      <c r="I54"/>
    </row>
    <row r="55" spans="1:12" x14ac:dyDescent="0.25">
      <c r="A55" s="104" t="s">
        <v>223</v>
      </c>
      <c r="B55" s="92">
        <f>SUM(B53:B54)</f>
        <v>11853.125906227198</v>
      </c>
      <c r="C55" s="92">
        <f>SUM(C53:C54)</f>
        <v>4718.5353128447996</v>
      </c>
      <c r="D55" s="92">
        <f>SUM(D53:D54)</f>
        <v>11853.125906227198</v>
      </c>
      <c r="E55" s="92">
        <f>SUM(E53:E54)</f>
        <v>16571.661219071997</v>
      </c>
      <c r="F55" s="79"/>
      <c r="I55"/>
    </row>
    <row r="56" spans="1:12" x14ac:dyDescent="0.25">
      <c r="A56" s="99" t="s">
        <v>172</v>
      </c>
      <c r="B56" s="92">
        <f>'Alton report, Credit Sales'!$C$39</f>
        <v>1234.2176795098276</v>
      </c>
      <c r="C56" s="92">
        <f>D56*0.9</f>
        <v>1110.7959115588449</v>
      </c>
      <c r="D56" s="92">
        <f>B56</f>
        <v>1234.2176795098276</v>
      </c>
      <c r="E56" s="92">
        <f>B56*1.1</f>
        <v>1357.6394474608105</v>
      </c>
      <c r="F56" s="79" t="s">
        <v>343</v>
      </c>
      <c r="I56"/>
    </row>
    <row r="57" spans="1:12" x14ac:dyDescent="0.25">
      <c r="A57" s="109" t="s">
        <v>175</v>
      </c>
      <c r="B57" s="92">
        <f>'Alton report, Credit Sales'!C42</f>
        <v>-182.21543249716603</v>
      </c>
      <c r="C57" s="92">
        <f>B57*0.9</f>
        <v>-163.99388924744943</v>
      </c>
      <c r="D57" s="92">
        <f>B57</f>
        <v>-182.21543249716603</v>
      </c>
      <c r="E57" s="92">
        <f>B57*1.1</f>
        <v>-200.43697574688267</v>
      </c>
      <c r="F57" s="79" t="s">
        <v>227</v>
      </c>
      <c r="I57"/>
    </row>
    <row r="58" spans="1:12" x14ac:dyDescent="0.25">
      <c r="A58" s="109" t="s">
        <v>324</v>
      </c>
      <c r="B58" s="92">
        <f>'Alton report, Credit Sales'!$K$28</f>
        <v>-4142.6253555041485</v>
      </c>
      <c r="C58" s="92">
        <f>B58*0.9</f>
        <v>-3728.3628199537338</v>
      </c>
      <c r="D58" s="92">
        <f>B58</f>
        <v>-4142.6253555041485</v>
      </c>
      <c r="E58" s="92">
        <f>B58*1.1</f>
        <v>-4556.8878910545636</v>
      </c>
      <c r="F58" s="79" t="s">
        <v>332</v>
      </c>
      <c r="I58"/>
    </row>
    <row r="59" spans="1:12" x14ac:dyDescent="0.25">
      <c r="A59" s="109" t="s">
        <v>331</v>
      </c>
      <c r="B59" s="92">
        <f>B55*20%*(-1)</f>
        <v>-2370.6251812454398</v>
      </c>
      <c r="C59" s="92">
        <f>C55*20%*(-1)</f>
        <v>-943.70706256895994</v>
      </c>
      <c r="D59" s="92">
        <f>D55*20%*(-1)</f>
        <v>-2370.6251812454398</v>
      </c>
      <c r="E59" s="92">
        <f>E55*20%*(-1)</f>
        <v>-3314.3322438143996</v>
      </c>
      <c r="F59" s="79" t="s">
        <v>252</v>
      </c>
      <c r="I59"/>
    </row>
    <row r="60" spans="1:12" x14ac:dyDescent="0.25">
      <c r="A60" s="105" t="s">
        <v>176</v>
      </c>
      <c r="B60" s="94">
        <f>SUM(B55:B59)</f>
        <v>6391.8776164902738</v>
      </c>
      <c r="C60" s="94">
        <f>SUM(C55:C59)</f>
        <v>993.26745263350119</v>
      </c>
      <c r="D60" s="94">
        <f>SUM(D55:D59)</f>
        <v>6391.8776164902738</v>
      </c>
      <c r="E60" s="94">
        <f>SUM(E55:E59)</f>
        <v>9857.6435559169622</v>
      </c>
      <c r="F60" s="93" t="s">
        <v>225</v>
      </c>
      <c r="I60"/>
    </row>
    <row r="63" spans="1:12" x14ac:dyDescent="0.25">
      <c r="A63" s="336" t="s">
        <v>209</v>
      </c>
      <c r="B63" s="336"/>
      <c r="C63"/>
      <c r="D63"/>
      <c r="E63"/>
    </row>
    <row r="64" spans="1:12" x14ac:dyDescent="0.25">
      <c r="A64" s="102" t="s">
        <v>193</v>
      </c>
      <c r="B64" s="88">
        <f>'Food waste'!$B$25</f>
        <v>3190.4061545423688</v>
      </c>
      <c r="C64"/>
      <c r="D64"/>
      <c r="E64"/>
    </row>
    <row r="65" spans="1:6" x14ac:dyDescent="0.25">
      <c r="A65" s="101" t="s">
        <v>194</v>
      </c>
      <c r="B65" s="90">
        <f>B64/2000</f>
        <v>1.5952030772711845</v>
      </c>
      <c r="C65"/>
      <c r="D65"/>
      <c r="E65"/>
    </row>
    <row r="66" spans="1:6" x14ac:dyDescent="0.25">
      <c r="A66" s="103" t="s">
        <v>202</v>
      </c>
      <c r="B66" s="75">
        <v>0.15</v>
      </c>
      <c r="C66"/>
      <c r="D66"/>
      <c r="E66"/>
    </row>
    <row r="67" spans="1:6" x14ac:dyDescent="0.25">
      <c r="A67" s="103" t="s">
        <v>203</v>
      </c>
      <c r="B67" s="75">
        <v>0.85</v>
      </c>
      <c r="C67"/>
      <c r="D67"/>
      <c r="E67"/>
    </row>
    <row r="68" spans="1:6" x14ac:dyDescent="0.25">
      <c r="A68" s="102" t="s">
        <v>204</v>
      </c>
      <c r="B68" s="88">
        <f>B65*B66</f>
        <v>0.23928046159067767</v>
      </c>
    </row>
    <row r="69" spans="1:6" x14ac:dyDescent="0.25">
      <c r="A69" s="102" t="s">
        <v>195</v>
      </c>
      <c r="B69" s="87">
        <f>'Food waste'!$H$16*(2/5)</f>
        <v>478.56092318135529</v>
      </c>
    </row>
    <row r="70" spans="1:6" x14ac:dyDescent="0.25">
      <c r="A70" s="102" t="s">
        <v>196</v>
      </c>
      <c r="B70" s="88">
        <f>B69/250</f>
        <v>1.9142436927254212</v>
      </c>
    </row>
    <row r="71" spans="1:6" x14ac:dyDescent="0.25">
      <c r="A71" s="102"/>
      <c r="B71" s="79"/>
    </row>
    <row r="72" spans="1:6" x14ac:dyDescent="0.25">
      <c r="A72" s="101" t="s">
        <v>197</v>
      </c>
      <c r="B72" s="90">
        <f>1/8</f>
        <v>0.125</v>
      </c>
    </row>
    <row r="73" spans="1:6" x14ac:dyDescent="0.25">
      <c r="A73" s="102" t="s">
        <v>201</v>
      </c>
      <c r="B73" s="88">
        <f>B70+B65</f>
        <v>3.5094467699966057</v>
      </c>
    </row>
    <row r="74" spans="1:6" x14ac:dyDescent="0.25">
      <c r="A74" s="103" t="s">
        <v>205</v>
      </c>
      <c r="B74" s="76">
        <f>((B65*15%)+(B70*0%))/B73</f>
        <v>6.8181818181818191E-2</v>
      </c>
    </row>
    <row r="75" spans="1:6" x14ac:dyDescent="0.25">
      <c r="A75" s="101" t="s">
        <v>200</v>
      </c>
      <c r="B75" s="90">
        <f>B73*B72</f>
        <v>0.43868084624957571</v>
      </c>
    </row>
    <row r="76" spans="1:6" x14ac:dyDescent="0.25">
      <c r="A76" s="103" t="s">
        <v>206</v>
      </c>
      <c r="B76" s="77">
        <f>(B73*B74)</f>
        <v>0.2392804615906777</v>
      </c>
    </row>
    <row r="77" spans="1:6" x14ac:dyDescent="0.25">
      <c r="A77" s="104" t="s">
        <v>207</v>
      </c>
      <c r="B77" s="74">
        <f>B76/B75</f>
        <v>0.54545454545454553</v>
      </c>
    </row>
    <row r="79" spans="1:6" x14ac:dyDescent="0.25">
      <c r="A79" s="352" t="s">
        <v>185</v>
      </c>
      <c r="B79" s="352"/>
      <c r="C79" s="352"/>
      <c r="D79" s="352"/>
      <c r="E79" s="352"/>
      <c r="F79" s="84"/>
    </row>
    <row r="80" spans="1:6" x14ac:dyDescent="0.25">
      <c r="A80" s="113"/>
      <c r="B80" s="114" t="s">
        <v>144</v>
      </c>
      <c r="C80" s="356" t="s">
        <v>145</v>
      </c>
      <c r="D80" s="356"/>
      <c r="E80" s="356"/>
      <c r="F80" s="84"/>
    </row>
    <row r="81" spans="1:11" x14ac:dyDescent="0.25">
      <c r="A81" s="113"/>
      <c r="B81" s="115"/>
      <c r="C81" s="114" t="s">
        <v>146</v>
      </c>
      <c r="D81" s="114" t="s">
        <v>147</v>
      </c>
      <c r="E81" s="114" t="s">
        <v>148</v>
      </c>
      <c r="F81" s="84"/>
    </row>
    <row r="82" spans="1:11" x14ac:dyDescent="0.25">
      <c r="A82" s="113" t="s">
        <v>87</v>
      </c>
      <c r="B82" s="115">
        <v>50000</v>
      </c>
      <c r="C82" s="115">
        <f>B82*0.5</f>
        <v>25000</v>
      </c>
      <c r="D82" s="115">
        <f>B82*0.75</f>
        <v>37500</v>
      </c>
      <c r="E82" s="115">
        <f>B82*1</f>
        <v>50000</v>
      </c>
      <c r="F82" s="84"/>
    </row>
    <row r="83" spans="1:11" x14ac:dyDescent="0.25">
      <c r="A83" s="101" t="s">
        <v>177</v>
      </c>
      <c r="B83" s="92">
        <f>'Food waste'!N38*80</f>
        <v>400</v>
      </c>
      <c r="C83" s="92">
        <v>0</v>
      </c>
      <c r="D83" s="92">
        <v>0</v>
      </c>
      <c r="E83" s="92">
        <v>0</v>
      </c>
      <c r="F83" s="168" t="s">
        <v>292</v>
      </c>
    </row>
    <row r="84" spans="1:11" x14ac:dyDescent="0.25">
      <c r="A84" s="247" t="s">
        <v>294</v>
      </c>
      <c r="B84" s="248">
        <v>0</v>
      </c>
      <c r="C84" s="248">
        <f t="shared" ref="C84:E84" si="6">C22*($B$65/$B$3)</f>
        <v>8640.6833352189151</v>
      </c>
      <c r="D84" s="248">
        <f t="shared" si="6"/>
        <v>11299.355130670889</v>
      </c>
      <c r="E84" s="248">
        <f t="shared" si="6"/>
        <v>14622.694874985857</v>
      </c>
      <c r="F84" s="79"/>
    </row>
    <row r="85" spans="1:11" x14ac:dyDescent="0.25">
      <c r="A85" s="188" t="s">
        <v>103</v>
      </c>
      <c r="B85" s="186">
        <f>SUM(B82:B83)</f>
        <v>50400</v>
      </c>
      <c r="C85" s="186">
        <f t="shared" ref="C85:E85" si="7">SUM(C82:C84)</f>
        <v>33640.683335218913</v>
      </c>
      <c r="D85" s="186">
        <f t="shared" si="7"/>
        <v>48799.355130670891</v>
      </c>
      <c r="E85" s="186">
        <f t="shared" si="7"/>
        <v>64622.694874985857</v>
      </c>
      <c r="F85" s="84"/>
    </row>
    <row r="86" spans="1:11" x14ac:dyDescent="0.25">
      <c r="A86" s="113"/>
      <c r="B86" s="115"/>
      <c r="C86" s="116" t="s">
        <v>151</v>
      </c>
      <c r="D86" s="116"/>
      <c r="E86" s="116"/>
      <c r="F86" s="84"/>
      <c r="I86"/>
      <c r="J86"/>
      <c r="K86"/>
    </row>
    <row r="87" spans="1:11" x14ac:dyDescent="0.25">
      <c r="A87" s="98" t="s">
        <v>103</v>
      </c>
      <c r="B87" s="153">
        <f>D87</f>
        <v>99199.355130670883</v>
      </c>
      <c r="C87" s="92">
        <f>SUM(B85,C85)</f>
        <v>84040.683335218913</v>
      </c>
      <c r="D87" s="92">
        <f>SUM(B85,D85)</f>
        <v>99199.355130670883</v>
      </c>
      <c r="E87" s="92">
        <f>SUM(B85,E85)</f>
        <v>115022.69487498586</v>
      </c>
      <c r="F87" s="79" t="s">
        <v>276</v>
      </c>
      <c r="I87"/>
      <c r="J87"/>
      <c r="K87"/>
    </row>
    <row r="88" spans="1:11" x14ac:dyDescent="0.25">
      <c r="A88" s="101" t="s">
        <v>270</v>
      </c>
      <c r="B88" s="147">
        <v>0.03</v>
      </c>
      <c r="C88" s="148">
        <v>0.03</v>
      </c>
      <c r="D88" s="148">
        <v>0.03</v>
      </c>
      <c r="E88" s="148">
        <v>0.03</v>
      </c>
      <c r="F88" s="79" t="s">
        <v>271</v>
      </c>
      <c r="I88"/>
      <c r="J88"/>
      <c r="K88"/>
    </row>
    <row r="89" spans="1:11" x14ac:dyDescent="0.25">
      <c r="A89" s="101" t="s">
        <v>273</v>
      </c>
      <c r="B89" s="149">
        <v>15</v>
      </c>
      <c r="C89" s="150">
        <v>15</v>
      </c>
      <c r="D89" s="150">
        <v>15</v>
      </c>
      <c r="E89" s="150">
        <v>15</v>
      </c>
      <c r="F89" s="79" t="s">
        <v>277</v>
      </c>
      <c r="I89"/>
      <c r="J89"/>
      <c r="K89"/>
    </row>
    <row r="90" spans="1:11" x14ac:dyDescent="0.25">
      <c r="A90" s="101" t="s">
        <v>274</v>
      </c>
      <c r="B90" s="56">
        <f>(((1+B88)^B89)-1)/(B88*(1+B88)^B89)</f>
        <v>11.937935086776077</v>
      </c>
      <c r="C90" s="56">
        <f t="shared" ref="C90:E90" si="8">(((1+C88)^C89)-1)/(C88*(1+C88)^C89)</f>
        <v>11.937935086776077</v>
      </c>
      <c r="D90" s="56">
        <f t="shared" si="8"/>
        <v>11.937935086776077</v>
      </c>
      <c r="E90" s="56">
        <f t="shared" si="8"/>
        <v>11.937935086776077</v>
      </c>
      <c r="F90" s="79"/>
      <c r="H90"/>
      <c r="I90"/>
      <c r="J90"/>
      <c r="K90"/>
    </row>
    <row r="91" spans="1:11" x14ac:dyDescent="0.25">
      <c r="A91" s="101" t="s">
        <v>269</v>
      </c>
      <c r="B91" s="91">
        <f t="shared" ref="B91:E91" si="9">B87/B90</f>
        <v>8309.5907633604293</v>
      </c>
      <c r="C91" s="92">
        <f t="shared" si="9"/>
        <v>7039.8006627052855</v>
      </c>
      <c r="D91" s="92">
        <f t="shared" si="9"/>
        <v>8309.5907633604293</v>
      </c>
      <c r="E91" s="92">
        <f t="shared" si="9"/>
        <v>9635.0578252347113</v>
      </c>
      <c r="F91" s="79" t="s">
        <v>275</v>
      </c>
      <c r="H91"/>
      <c r="I91"/>
      <c r="J91"/>
      <c r="K91"/>
    </row>
    <row r="92" spans="1:11" x14ac:dyDescent="0.25">
      <c r="A92" s="113"/>
      <c r="B92" s="115"/>
      <c r="C92" s="115"/>
      <c r="D92" s="115"/>
      <c r="E92" s="115"/>
      <c r="F92" s="84"/>
      <c r="H92"/>
      <c r="I92"/>
      <c r="J92"/>
      <c r="K92"/>
    </row>
    <row r="93" spans="1:11" x14ac:dyDescent="0.25">
      <c r="A93" s="113" t="s">
        <v>211</v>
      </c>
      <c r="B93" s="115"/>
      <c r="C93" s="115"/>
      <c r="D93" s="115"/>
      <c r="E93" s="115"/>
      <c r="F93" s="84"/>
      <c r="H93"/>
      <c r="I93"/>
      <c r="J93"/>
      <c r="K93"/>
    </row>
    <row r="94" spans="1:11" x14ac:dyDescent="0.25">
      <c r="A94" s="108" t="s">
        <v>153</v>
      </c>
      <c r="B94" s="92">
        <v>100</v>
      </c>
      <c r="C94" s="92">
        <f t="shared" ref="C94:C101" si="10">B94*0.9</f>
        <v>90</v>
      </c>
      <c r="D94" s="92">
        <f t="shared" ref="D94:D101" si="11">B94*1</f>
        <v>100</v>
      </c>
      <c r="E94" s="92">
        <f t="shared" ref="E94:E101" si="12">B94*1.1</f>
        <v>110.00000000000001</v>
      </c>
      <c r="F94" s="79" t="s">
        <v>182</v>
      </c>
      <c r="H94"/>
      <c r="I94"/>
      <c r="J94"/>
      <c r="K94"/>
    </row>
    <row r="95" spans="1:11" x14ac:dyDescent="0.25">
      <c r="A95" s="108" t="s">
        <v>154</v>
      </c>
      <c r="B95" s="92">
        <f>B33*(1.6/12)</f>
        <v>51.456000000000003</v>
      </c>
      <c r="C95" s="92">
        <f t="shared" si="10"/>
        <v>46.310400000000001</v>
      </c>
      <c r="D95" s="92">
        <f t="shared" si="11"/>
        <v>51.456000000000003</v>
      </c>
      <c r="E95" s="92">
        <f t="shared" si="12"/>
        <v>56.601600000000005</v>
      </c>
      <c r="F95" s="95" t="s">
        <v>224</v>
      </c>
      <c r="H95"/>
      <c r="I95"/>
      <c r="J95"/>
      <c r="K95"/>
    </row>
    <row r="96" spans="1:11" x14ac:dyDescent="0.25">
      <c r="A96" s="108" t="s">
        <v>155</v>
      </c>
      <c r="B96" s="92">
        <f>B34*(1.6/12)</f>
        <v>64.204800000000006</v>
      </c>
      <c r="C96" s="92">
        <f t="shared" si="10"/>
        <v>57.784320000000008</v>
      </c>
      <c r="D96" s="92">
        <f t="shared" si="11"/>
        <v>64.204800000000006</v>
      </c>
      <c r="E96" s="92">
        <f t="shared" si="12"/>
        <v>70.625280000000018</v>
      </c>
      <c r="F96" s="79" t="s">
        <v>184</v>
      </c>
      <c r="H96"/>
      <c r="I96"/>
      <c r="J96"/>
      <c r="K96"/>
    </row>
    <row r="97" spans="1:10" x14ac:dyDescent="0.25">
      <c r="A97" s="104" t="s">
        <v>161</v>
      </c>
      <c r="B97" s="92">
        <f>D97</f>
        <v>2560</v>
      </c>
      <c r="C97" s="92">
        <f>50*3*32*(1.6/12)*3</f>
        <v>1920</v>
      </c>
      <c r="D97" s="92">
        <f>50*4*32*(1.6/12)*3</f>
        <v>2560</v>
      </c>
      <c r="E97" s="92">
        <f>50*6*32*(1.6/12)*3</f>
        <v>3840</v>
      </c>
      <c r="F97" s="79" t="s">
        <v>293</v>
      </c>
      <c r="H97"/>
      <c r="I97"/>
      <c r="J97"/>
    </row>
    <row r="98" spans="1:10" x14ac:dyDescent="0.25">
      <c r="A98" s="108" t="s">
        <v>162</v>
      </c>
      <c r="B98" s="92">
        <f>B36*(1.6/12)</f>
        <v>303.14240000000001</v>
      </c>
      <c r="C98" s="92">
        <f t="shared" si="10"/>
        <v>272.82816000000003</v>
      </c>
      <c r="D98" s="92">
        <f t="shared" si="11"/>
        <v>303.14240000000001</v>
      </c>
      <c r="E98" s="92">
        <f t="shared" si="12"/>
        <v>333.45664000000005</v>
      </c>
      <c r="F98" s="79" t="s">
        <v>163</v>
      </c>
      <c r="H98"/>
      <c r="I98"/>
      <c r="J98"/>
    </row>
    <row r="99" spans="1:10" x14ac:dyDescent="0.25">
      <c r="A99" s="183" t="s">
        <v>297</v>
      </c>
      <c r="B99" s="186">
        <f t="shared" ref="B99" si="13">50*3*32*($B$65/$B$3)</f>
        <v>638.0812309084738</v>
      </c>
      <c r="C99" s="186">
        <f>B99*0.9</f>
        <v>574.2731078176264</v>
      </c>
      <c r="D99" s="186">
        <f>B99</f>
        <v>638.0812309084738</v>
      </c>
      <c r="E99" s="186">
        <f>B99*1.1</f>
        <v>701.8893539993212</v>
      </c>
      <c r="F99" s="168" t="s">
        <v>298</v>
      </c>
      <c r="H99"/>
      <c r="I99"/>
      <c r="J99"/>
    </row>
    <row r="100" spans="1:10" x14ac:dyDescent="0.25">
      <c r="A100" s="121" t="s">
        <v>7</v>
      </c>
      <c r="B100" s="115">
        <f>'Current - Aerobic (EnviroPure)'!B59</f>
        <v>2500</v>
      </c>
      <c r="C100" s="92">
        <f t="shared" si="10"/>
        <v>2250</v>
      </c>
      <c r="D100" s="92">
        <f t="shared" si="11"/>
        <v>2500</v>
      </c>
      <c r="E100" s="92">
        <f t="shared" si="12"/>
        <v>2750</v>
      </c>
      <c r="F100" s="84" t="s">
        <v>191</v>
      </c>
      <c r="H100"/>
      <c r="I100"/>
      <c r="J100"/>
    </row>
    <row r="101" spans="1:10" x14ac:dyDescent="0.25">
      <c r="A101" s="165" t="s">
        <v>290</v>
      </c>
      <c r="B101" s="163">
        <f>15*B75*32</f>
        <v>210.56680619979633</v>
      </c>
      <c r="C101" s="163">
        <f t="shared" si="10"/>
        <v>189.5101255798167</v>
      </c>
      <c r="D101" s="163">
        <f t="shared" si="11"/>
        <v>210.56680619979633</v>
      </c>
      <c r="E101" s="163">
        <f t="shared" si="12"/>
        <v>231.62348681977599</v>
      </c>
      <c r="F101" s="164" t="s">
        <v>291</v>
      </c>
      <c r="H101"/>
      <c r="I101"/>
      <c r="J101"/>
    </row>
    <row r="102" spans="1:10" x14ac:dyDescent="0.25">
      <c r="A102" s="104" t="s">
        <v>214</v>
      </c>
      <c r="B102" s="120">
        <f>SUM(B94:B100)</f>
        <v>6216.8844309084743</v>
      </c>
      <c r="C102" s="91">
        <f>SUM(C94:C100)</f>
        <v>5211.1959878176267</v>
      </c>
      <c r="D102" s="91">
        <f>SUM(D94:D100)</f>
        <v>6216.8844309084743</v>
      </c>
      <c r="E102" s="91">
        <f>SUM(E94:E100)</f>
        <v>7862.5728739993219</v>
      </c>
      <c r="F102" s="84"/>
      <c r="H102"/>
      <c r="I102"/>
      <c r="J102"/>
    </row>
    <row r="103" spans="1:10" x14ac:dyDescent="0.25">
      <c r="A103" s="122" t="s">
        <v>212</v>
      </c>
      <c r="B103" s="123">
        <f>B91+B102</f>
        <v>14526.475194268904</v>
      </c>
      <c r="C103" s="123">
        <f>C91+C102</f>
        <v>12250.996650522913</v>
      </c>
      <c r="D103" s="123">
        <f>D91+D102</f>
        <v>14526.475194268904</v>
      </c>
      <c r="E103" s="123">
        <f>E91+E102</f>
        <v>17497.630699234032</v>
      </c>
      <c r="F103" s="124" t="s">
        <v>213</v>
      </c>
      <c r="H103"/>
      <c r="I103"/>
      <c r="J103"/>
    </row>
    <row r="104" spans="1:10" x14ac:dyDescent="0.25">
      <c r="A104" s="105"/>
      <c r="B104" s="92"/>
      <c r="C104" s="92"/>
      <c r="D104" s="92"/>
      <c r="E104" s="92"/>
      <c r="F104" s="119"/>
      <c r="H104"/>
      <c r="I104"/>
      <c r="J104"/>
    </row>
    <row r="105" spans="1:10" x14ac:dyDescent="0.25">
      <c r="A105" s="369" t="s">
        <v>165</v>
      </c>
      <c r="B105" s="369"/>
      <c r="C105" s="369"/>
      <c r="D105" s="369"/>
      <c r="E105" s="369"/>
      <c r="F105" s="110"/>
      <c r="H105"/>
      <c r="I105"/>
      <c r="J105"/>
    </row>
    <row r="106" spans="1:10" x14ac:dyDescent="0.25">
      <c r="A106" s="98" t="s">
        <v>221</v>
      </c>
      <c r="B106" s="92"/>
      <c r="C106" s="92"/>
      <c r="D106" s="92"/>
      <c r="E106" s="92"/>
      <c r="F106" s="79"/>
      <c r="H106"/>
      <c r="I106"/>
      <c r="J106"/>
    </row>
    <row r="107" spans="1:10" x14ac:dyDescent="0.25">
      <c r="A107" s="99" t="s">
        <v>169</v>
      </c>
      <c r="B107" s="92">
        <f>'Biogas to electricity - Input'!$D$35*(B65/B3)</f>
        <v>608.19387198377694</v>
      </c>
      <c r="C107" s="92">
        <f>B107*0.9</f>
        <v>547.37448478539932</v>
      </c>
      <c r="D107" s="92">
        <f>B107</f>
        <v>608.19387198377694</v>
      </c>
      <c r="E107" s="92">
        <f>B107*1.1</f>
        <v>669.01325918215468</v>
      </c>
      <c r="F107" s="79" t="s">
        <v>168</v>
      </c>
    </row>
    <row r="108" spans="1:10" x14ac:dyDescent="0.25">
      <c r="A108" s="100" t="s">
        <v>180</v>
      </c>
      <c r="B108" s="92">
        <f>'Biogas to electricity - Input'!$F$35*(B65/B3)</f>
        <v>24.775769155610757</v>
      </c>
      <c r="C108" s="92">
        <f>B108*0.9</f>
        <v>22.29819224004968</v>
      </c>
      <c r="D108" s="92">
        <f>B108</f>
        <v>24.775769155610757</v>
      </c>
      <c r="E108" s="92">
        <f>B108*1.1</f>
        <v>27.253346071171833</v>
      </c>
      <c r="F108" s="79" t="s">
        <v>166</v>
      </c>
    </row>
    <row r="109" spans="1:10" x14ac:dyDescent="0.25">
      <c r="A109" s="99" t="s">
        <v>167</v>
      </c>
      <c r="B109" s="92">
        <f>'Biogas to electricity - Input'!$E$35*(B65/B3)</f>
        <v>115.65061555696877</v>
      </c>
      <c r="C109" s="92">
        <f>B109*0.9</f>
        <v>104.0855540012719</v>
      </c>
      <c r="D109" s="92">
        <f>B109</f>
        <v>115.65061555696877</v>
      </c>
      <c r="E109" s="92">
        <f>B109*1.1</f>
        <v>127.21567711266566</v>
      </c>
      <c r="F109" s="79" t="s">
        <v>168</v>
      </c>
    </row>
    <row r="110" spans="1:10" x14ac:dyDescent="0.25">
      <c r="A110" s="99" t="s">
        <v>170</v>
      </c>
      <c r="B110" s="92">
        <f>'Alton report, Credit Sales'!$D$31*(B65/B3)</f>
        <v>-369.71386184191243</v>
      </c>
      <c r="C110" s="92">
        <f>B110*0.9</f>
        <v>-332.74247565772117</v>
      </c>
      <c r="D110" s="92">
        <f>B110</f>
        <v>-369.71386184191243</v>
      </c>
      <c r="E110" s="92">
        <f>B110*1.1</f>
        <v>-406.68524802610369</v>
      </c>
      <c r="F110" s="79"/>
    </row>
    <row r="111" spans="1:10" x14ac:dyDescent="0.25">
      <c r="A111" s="97" t="s">
        <v>217</v>
      </c>
      <c r="B111" s="94">
        <f>SUM(B107:B110)</f>
        <v>378.90639485444404</v>
      </c>
      <c r="C111" s="94">
        <f>SUM(C107:C110)</f>
        <v>341.01575536899981</v>
      </c>
      <c r="D111" s="94">
        <f>SUM(D107:D110)</f>
        <v>378.90639485444404</v>
      </c>
      <c r="E111" s="94">
        <f>SUM(E107:E110)</f>
        <v>416.7970343398884</v>
      </c>
      <c r="F111" s="93" t="s">
        <v>218</v>
      </c>
    </row>
    <row r="112" spans="1:10" x14ac:dyDescent="0.25">
      <c r="A112" s="102"/>
      <c r="B112" s="79"/>
      <c r="C112" s="79"/>
      <c r="D112" s="79"/>
      <c r="E112" s="79"/>
      <c r="F112" s="79"/>
    </row>
    <row r="113" spans="1:6" x14ac:dyDescent="0.25">
      <c r="A113" s="101" t="s">
        <v>222</v>
      </c>
      <c r="B113" s="79"/>
      <c r="C113" s="79"/>
      <c r="D113" s="79"/>
      <c r="E113" s="79"/>
      <c r="F113" s="79"/>
    </row>
    <row r="114" spans="1:6" x14ac:dyDescent="0.25">
      <c r="A114" s="101" t="s">
        <v>219</v>
      </c>
      <c r="B114" s="79"/>
      <c r="C114" s="79"/>
      <c r="D114" s="79"/>
      <c r="E114" s="79"/>
      <c r="F114" s="79"/>
    </row>
    <row r="115" spans="1:6" x14ac:dyDescent="0.25">
      <c r="A115" s="100" t="s">
        <v>55</v>
      </c>
      <c r="B115" s="92">
        <f>'Alton report, Credit Sales'!$C$28*(1.6/12)</f>
        <v>1288.5628162867197</v>
      </c>
      <c r="C115" s="92">
        <f>'Alton report, Credit Sales'!$C$27*0.75*(1.6/12)</f>
        <v>483.21105610751994</v>
      </c>
      <c r="D115" s="92">
        <f>B115</f>
        <v>1288.5628162867197</v>
      </c>
      <c r="E115" s="92">
        <f>'Alton report, Credit Sales'!$C$27*2.75*(1.6/12)</f>
        <v>1771.7738723942396</v>
      </c>
      <c r="F115" s="79" t="s">
        <v>361</v>
      </c>
    </row>
    <row r="116" spans="1:6" x14ac:dyDescent="0.25">
      <c r="A116" s="108" t="s">
        <v>173</v>
      </c>
      <c r="B116" s="92">
        <f>'Alton report, Credit Sales'!$E$5*(1.6/12)</f>
        <v>291.85397121023999</v>
      </c>
      <c r="C116" s="92">
        <f>'Alton report, Credit Sales'!$C$5*50*(1.6/12)</f>
        <v>145.92698560512</v>
      </c>
      <c r="D116" s="92">
        <f>B116</f>
        <v>291.85397121023999</v>
      </c>
      <c r="E116" s="92">
        <f>'Alton report, Credit Sales'!$C$5*150*(1.6/12)</f>
        <v>437.78095681536001</v>
      </c>
      <c r="F116" s="79" t="s">
        <v>174</v>
      </c>
    </row>
    <row r="117" spans="1:6" x14ac:dyDescent="0.25">
      <c r="A117" s="101" t="s">
        <v>220</v>
      </c>
      <c r="B117" s="92">
        <f>SUM(B115:B116)</f>
        <v>1580.4167874969596</v>
      </c>
      <c r="C117" s="92">
        <f>SUM(C115:C116)</f>
        <v>629.13804171263996</v>
      </c>
      <c r="D117" s="92">
        <f>SUM(D115:D116)</f>
        <v>1580.4167874969596</v>
      </c>
      <c r="E117" s="92">
        <f>SUM(E115:E116)</f>
        <v>2209.5548292095996</v>
      </c>
      <c r="F117" s="79"/>
    </row>
    <row r="118" spans="1:6" x14ac:dyDescent="0.25">
      <c r="A118" s="99" t="s">
        <v>172</v>
      </c>
      <c r="B118" s="92">
        <f>'Alton report, Credit Sales'!$C$39*(1.6/12)</f>
        <v>164.56235726797701</v>
      </c>
      <c r="C118" s="92">
        <f>D118*0.9</f>
        <v>148.10612154117931</v>
      </c>
      <c r="D118" s="92">
        <f>B118</f>
        <v>164.56235726797701</v>
      </c>
      <c r="E118" s="92">
        <f>B118*1.1</f>
        <v>181.01859299477474</v>
      </c>
      <c r="F118" s="79" t="s">
        <v>343</v>
      </c>
    </row>
    <row r="119" spans="1:6" x14ac:dyDescent="0.25">
      <c r="A119" s="109" t="s">
        <v>175</v>
      </c>
      <c r="B119" s="92">
        <f>B57*(1.6/12)</f>
        <v>-24.295390999622139</v>
      </c>
      <c r="C119" s="92">
        <f>B119*0.9</f>
        <v>-21.865851899659926</v>
      </c>
      <c r="D119" s="92">
        <f>B119</f>
        <v>-24.295390999622139</v>
      </c>
      <c r="E119" s="92">
        <f>B119*1.1</f>
        <v>-26.724930099584356</v>
      </c>
      <c r="F119" s="79" t="s">
        <v>227</v>
      </c>
    </row>
    <row r="120" spans="1:6" x14ac:dyDescent="0.25">
      <c r="A120" s="109" t="s">
        <v>324</v>
      </c>
      <c r="B120" s="92">
        <f>B58*B65/B3</f>
        <v>-550.69405959015432</v>
      </c>
      <c r="C120" s="92">
        <f>B120*0.9</f>
        <v>-495.62465363113893</v>
      </c>
      <c r="D120" s="92">
        <f>B120</f>
        <v>-550.69405959015432</v>
      </c>
      <c r="E120" s="92">
        <f>B120*1.1</f>
        <v>-605.76346554916984</v>
      </c>
      <c r="F120" s="79" t="s">
        <v>332</v>
      </c>
    </row>
    <row r="121" spans="1:6" x14ac:dyDescent="0.25">
      <c r="A121" s="109" t="s">
        <v>331</v>
      </c>
      <c r="B121" s="92">
        <f>(B115+B116)*20%*(-1)</f>
        <v>-316.08335749939192</v>
      </c>
      <c r="C121" s="92">
        <f>(C115+C116)*20%*(-1)</f>
        <v>-125.82760834252799</v>
      </c>
      <c r="D121" s="92">
        <f>(D115+D116)*20%*(-1)</f>
        <v>-316.08335749939192</v>
      </c>
      <c r="E121" s="92">
        <f>(E115+E116)*20%*(-1)</f>
        <v>-441.91096584191996</v>
      </c>
      <c r="F121" s="154" t="s">
        <v>252</v>
      </c>
    </row>
    <row r="122" spans="1:6" x14ac:dyDescent="0.25">
      <c r="A122" s="101" t="s">
        <v>218</v>
      </c>
      <c r="B122" s="92">
        <f>SUM(B117:B121)</f>
        <v>853.90633667576799</v>
      </c>
      <c r="C122" s="92">
        <f>SUM(C117:C121)</f>
        <v>133.92604938049243</v>
      </c>
      <c r="D122" s="92">
        <f>SUM(D117:D121)</f>
        <v>853.90633667576799</v>
      </c>
      <c r="E122" s="92">
        <f>SUM(E117:E121)</f>
        <v>1316.1740607137001</v>
      </c>
      <c r="F122" s="93" t="s">
        <v>225</v>
      </c>
    </row>
  </sheetData>
  <mergeCells count="8">
    <mergeCell ref="A79:E79"/>
    <mergeCell ref="C80:E80"/>
    <mergeCell ref="A105:E105"/>
    <mergeCell ref="A1:B1"/>
    <mergeCell ref="A43:E43"/>
    <mergeCell ref="A63:B63"/>
    <mergeCell ref="A17:E17"/>
    <mergeCell ref="C18:E18"/>
  </mergeCells>
  <pageMargins left="0.7" right="0.7" top="0.75" bottom="0.75" header="0.3" footer="0.3"/>
  <pageSetup paperSize="9" orientation="portrait" verticalDpi="0" r:id="rId1"/>
  <ignoredErrors>
    <ignoredError sqref="D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N135"/>
  <sheetViews>
    <sheetView topLeftCell="A19" zoomScaleNormal="100" workbookViewId="0">
      <selection activeCell="F122" sqref="F122"/>
    </sheetView>
  </sheetViews>
  <sheetFormatPr defaultRowHeight="15" x14ac:dyDescent="0.25"/>
  <cols>
    <col min="1" max="1" width="38.140625" style="178" bestFit="1" customWidth="1"/>
    <col min="2" max="2" width="14.85546875" style="166" bestFit="1" customWidth="1"/>
    <col min="3" max="3" width="19" style="166" bestFit="1" customWidth="1"/>
    <col min="4" max="5" width="12.5703125" style="166" bestFit="1" customWidth="1"/>
    <col min="6" max="6" width="87.85546875" style="166" bestFit="1" customWidth="1"/>
    <col min="7" max="7" width="11.5703125" style="166" bestFit="1" customWidth="1"/>
    <col min="8" max="8" width="9.140625" style="166"/>
    <col min="9" max="9" width="38.140625" style="166" bestFit="1" customWidth="1"/>
    <col min="10" max="10" width="14.85546875" style="166" bestFit="1" customWidth="1"/>
    <col min="11" max="11" width="19" style="166" bestFit="1" customWidth="1"/>
    <col min="12" max="13" width="11.5703125" style="166" bestFit="1" customWidth="1"/>
    <col min="14" max="14" width="87.85546875" style="166" bestFit="1" customWidth="1"/>
    <col min="15" max="16384" width="9.140625" style="166"/>
  </cols>
  <sheetData>
    <row r="1" spans="1:10" x14ac:dyDescent="0.25">
      <c r="A1" s="379" t="s">
        <v>208</v>
      </c>
      <c r="B1" s="379"/>
      <c r="I1" s="374" t="s">
        <v>267</v>
      </c>
      <c r="J1" s="374"/>
    </row>
    <row r="2" spans="1:10" x14ac:dyDescent="0.25">
      <c r="A2" s="167" t="s">
        <v>193</v>
      </c>
      <c r="B2" s="168">
        <v>24000</v>
      </c>
      <c r="I2" s="167" t="s">
        <v>193</v>
      </c>
      <c r="J2" s="169">
        <f>'Food waste'!B24</f>
        <v>10526.982690349587</v>
      </c>
    </row>
    <row r="3" spans="1:10" x14ac:dyDescent="0.25">
      <c r="A3" s="170" t="s">
        <v>194</v>
      </c>
      <c r="B3" s="171">
        <f>B2/2000</f>
        <v>12</v>
      </c>
      <c r="I3" s="170" t="s">
        <v>194</v>
      </c>
      <c r="J3" s="172">
        <f>J2/2000</f>
        <v>5.2634913451747938</v>
      </c>
    </row>
    <row r="4" spans="1:10" x14ac:dyDescent="0.25">
      <c r="A4" s="173" t="s">
        <v>202</v>
      </c>
      <c r="B4" s="174">
        <v>0.15</v>
      </c>
      <c r="I4" s="173" t="s">
        <v>202</v>
      </c>
      <c r="J4" s="174">
        <v>0.15</v>
      </c>
    </row>
    <row r="5" spans="1:10" x14ac:dyDescent="0.25">
      <c r="A5" s="173" t="s">
        <v>203</v>
      </c>
      <c r="B5" s="174">
        <v>0.85</v>
      </c>
      <c r="I5" s="173" t="s">
        <v>203</v>
      </c>
      <c r="J5" s="174">
        <v>0.85</v>
      </c>
    </row>
    <row r="6" spans="1:10" x14ac:dyDescent="0.25">
      <c r="A6" s="167" t="s">
        <v>204</v>
      </c>
      <c r="B6" s="168">
        <f>B3*B4</f>
        <v>1.7999999999999998</v>
      </c>
      <c r="I6" s="167" t="s">
        <v>204</v>
      </c>
      <c r="J6" s="169">
        <f>J3*J4</f>
        <v>0.789523701776219</v>
      </c>
    </row>
    <row r="7" spans="1:10" x14ac:dyDescent="0.25">
      <c r="A7" s="167" t="s">
        <v>280</v>
      </c>
      <c r="B7" s="168">
        <f>'Food waste'!H18*(3/5)</f>
        <v>5400</v>
      </c>
      <c r="I7" s="167" t="s">
        <v>280</v>
      </c>
      <c r="J7" s="175">
        <f>'Food waste'!$H$15*(3/5)</f>
        <v>2368.5711053286573</v>
      </c>
    </row>
    <row r="8" spans="1:10" x14ac:dyDescent="0.25">
      <c r="A8" s="167" t="s">
        <v>281</v>
      </c>
      <c r="B8" s="168">
        <f>B7/250</f>
        <v>21.6</v>
      </c>
      <c r="I8" s="167" t="s">
        <v>281</v>
      </c>
      <c r="J8" s="169">
        <f>J7/250</f>
        <v>9.4742844213146284</v>
      </c>
    </row>
    <row r="9" spans="1:10" x14ac:dyDescent="0.25">
      <c r="A9" s="167"/>
      <c r="B9" s="168"/>
      <c r="I9" s="167"/>
      <c r="J9" s="168"/>
    </row>
    <row r="10" spans="1:10" x14ac:dyDescent="0.25">
      <c r="A10" s="170" t="s">
        <v>197</v>
      </c>
      <c r="B10" s="176">
        <v>0.85</v>
      </c>
      <c r="I10" s="170" t="s">
        <v>197</v>
      </c>
      <c r="J10" s="176">
        <v>0.85</v>
      </c>
    </row>
    <row r="11" spans="1:10" x14ac:dyDescent="0.25">
      <c r="A11" s="167" t="s">
        <v>201</v>
      </c>
      <c r="B11" s="168">
        <f>B8+B3</f>
        <v>33.6</v>
      </c>
      <c r="C11" s="177"/>
      <c r="D11" s="178"/>
      <c r="I11" s="167" t="s">
        <v>201</v>
      </c>
      <c r="J11" s="169">
        <f>J8+J3</f>
        <v>14.737775766489422</v>
      </c>
    </row>
    <row r="12" spans="1:10" x14ac:dyDescent="0.25">
      <c r="A12" s="173" t="s">
        <v>205</v>
      </c>
      <c r="B12" s="179">
        <f>((B3*15%)+(B8*0%))/B11</f>
        <v>5.3571428571428562E-2</v>
      </c>
      <c r="C12" s="177"/>
      <c r="D12" s="178"/>
      <c r="I12" s="173" t="s">
        <v>205</v>
      </c>
      <c r="J12" s="179">
        <f>((J3*15%)+(J8*0%))/J11</f>
        <v>5.3571428571428568E-2</v>
      </c>
    </row>
    <row r="13" spans="1:10" x14ac:dyDescent="0.25">
      <c r="A13" s="170" t="s">
        <v>200</v>
      </c>
      <c r="B13" s="171">
        <f>B11*(1-B10)</f>
        <v>5.0400000000000009</v>
      </c>
      <c r="C13" s="178">
        <f>B13*250</f>
        <v>1260.0000000000002</v>
      </c>
      <c r="D13" s="177"/>
      <c r="I13" s="170" t="s">
        <v>200</v>
      </c>
      <c r="J13" s="172">
        <f>J11*(1-J10)</f>
        <v>2.2106663649734135</v>
      </c>
    </row>
    <row r="14" spans="1:10" x14ac:dyDescent="0.25">
      <c r="A14" s="173" t="s">
        <v>206</v>
      </c>
      <c r="B14" s="180">
        <f>(B11*B12)</f>
        <v>1.7999999999999998</v>
      </c>
      <c r="D14" s="181"/>
      <c r="I14" s="173" t="s">
        <v>206</v>
      </c>
      <c r="J14" s="182">
        <f>(J11*J12)</f>
        <v>0.789523701776219</v>
      </c>
    </row>
    <row r="15" spans="1:10" x14ac:dyDescent="0.25">
      <c r="A15" s="183" t="s">
        <v>207</v>
      </c>
      <c r="B15" s="184">
        <f>B14/B13</f>
        <v>0.35714285714285704</v>
      </c>
      <c r="D15" s="181"/>
      <c r="I15" s="183" t="s">
        <v>207</v>
      </c>
      <c r="J15" s="184">
        <f>J14/J13</f>
        <v>0.3571428571428571</v>
      </c>
    </row>
    <row r="16" spans="1:10" x14ac:dyDescent="0.25">
      <c r="I16" s="178"/>
    </row>
    <row r="17" spans="1:14" x14ac:dyDescent="0.25">
      <c r="A17" s="379" t="s">
        <v>198</v>
      </c>
      <c r="B17" s="379"/>
      <c r="C17" s="379"/>
      <c r="D17" s="379"/>
      <c r="E17" s="379"/>
      <c r="F17" s="168"/>
      <c r="I17" s="379" t="s">
        <v>268</v>
      </c>
      <c r="J17" s="379"/>
      <c r="K17" s="379"/>
      <c r="L17" s="379"/>
      <c r="M17" s="379"/>
      <c r="N17" s="168"/>
    </row>
    <row r="18" spans="1:14" x14ac:dyDescent="0.25">
      <c r="A18" s="170"/>
      <c r="B18" s="185" t="s">
        <v>144</v>
      </c>
      <c r="C18" s="380" t="s">
        <v>295</v>
      </c>
      <c r="D18" s="380"/>
      <c r="E18" s="380"/>
      <c r="F18" s="168"/>
      <c r="I18" s="170"/>
      <c r="J18" s="185" t="s">
        <v>144</v>
      </c>
      <c r="K18" s="380" t="s">
        <v>145</v>
      </c>
      <c r="L18" s="380"/>
      <c r="M18" s="380"/>
      <c r="N18" s="168"/>
    </row>
    <row r="19" spans="1:14" x14ac:dyDescent="0.25">
      <c r="A19" s="170"/>
      <c r="B19" s="186"/>
      <c r="C19" s="185" t="s">
        <v>146</v>
      </c>
      <c r="D19" s="185" t="s">
        <v>147</v>
      </c>
      <c r="E19" s="185" t="s">
        <v>148</v>
      </c>
      <c r="F19" s="168"/>
      <c r="I19" s="170"/>
      <c r="J19" s="186"/>
      <c r="K19" s="185" t="s">
        <v>146</v>
      </c>
      <c r="L19" s="185" t="s">
        <v>147</v>
      </c>
      <c r="M19" s="185" t="s">
        <v>148</v>
      </c>
      <c r="N19" s="168"/>
    </row>
    <row r="20" spans="1:14" x14ac:dyDescent="0.25">
      <c r="A20" s="170" t="s">
        <v>158</v>
      </c>
      <c r="B20" s="186">
        <f>25000*6</f>
        <v>150000</v>
      </c>
      <c r="C20" s="186">
        <f>B20*0.5</f>
        <v>75000</v>
      </c>
      <c r="D20" s="186">
        <f>B20*0.75</f>
        <v>112500</v>
      </c>
      <c r="E20" s="186">
        <f>B20*1</f>
        <v>150000</v>
      </c>
      <c r="F20" s="187" t="s">
        <v>279</v>
      </c>
      <c r="I20" s="170" t="s">
        <v>86</v>
      </c>
      <c r="J20" s="186">
        <v>25000</v>
      </c>
      <c r="K20" s="186">
        <f>J20*0.5</f>
        <v>12500</v>
      </c>
      <c r="L20" s="186">
        <f>J20*0.75</f>
        <v>18750</v>
      </c>
      <c r="M20" s="186">
        <f>J20*1</f>
        <v>25000</v>
      </c>
      <c r="N20" s="168"/>
    </row>
    <row r="21" spans="1:14" x14ac:dyDescent="0.25">
      <c r="A21" s="170" t="s">
        <v>159</v>
      </c>
      <c r="B21" s="186">
        <f>'Food waste'!Q37*80</f>
        <v>3200</v>
      </c>
      <c r="C21" s="186">
        <f>0</f>
        <v>0</v>
      </c>
      <c r="D21" s="186">
        <f>0</f>
        <v>0</v>
      </c>
      <c r="E21" s="186">
        <f>0</f>
        <v>0</v>
      </c>
      <c r="F21" s="168" t="s">
        <v>292</v>
      </c>
      <c r="I21" s="170" t="s">
        <v>177</v>
      </c>
      <c r="J21" s="186">
        <f>'Food waste'!Q39*80</f>
        <v>1360</v>
      </c>
      <c r="K21" s="186">
        <v>0</v>
      </c>
      <c r="L21" s="186">
        <v>0</v>
      </c>
      <c r="M21" s="186">
        <v>0</v>
      </c>
      <c r="N21" s="168" t="s">
        <v>292</v>
      </c>
    </row>
    <row r="22" spans="1:14" x14ac:dyDescent="0.25">
      <c r="A22" s="247" t="s">
        <v>294</v>
      </c>
      <c r="B22" s="248">
        <v>0</v>
      </c>
      <c r="C22" s="248">
        <v>65000</v>
      </c>
      <c r="D22" s="248">
        <v>85000</v>
      </c>
      <c r="E22" s="248">
        <v>110000</v>
      </c>
      <c r="F22" s="168"/>
      <c r="I22" s="247" t="s">
        <v>294</v>
      </c>
      <c r="J22" s="248">
        <v>0</v>
      </c>
      <c r="K22" s="248">
        <f t="shared" ref="K22:M22" si="0">C22*($J$3/$B$3)</f>
        <v>28510.578119696802</v>
      </c>
      <c r="L22" s="248">
        <f t="shared" si="0"/>
        <v>37283.063694988123</v>
      </c>
      <c r="M22" s="248">
        <f t="shared" si="0"/>
        <v>48248.670664102276</v>
      </c>
      <c r="N22" s="168"/>
    </row>
    <row r="23" spans="1:14" x14ac:dyDescent="0.25">
      <c r="A23" s="188" t="s">
        <v>103</v>
      </c>
      <c r="B23" s="186">
        <f>SUM(B20:B21)</f>
        <v>153200</v>
      </c>
      <c r="C23" s="186">
        <f t="shared" ref="C23:E23" si="1">SUM(C20:C22)</f>
        <v>140000</v>
      </c>
      <c r="D23" s="186">
        <f t="shared" si="1"/>
        <v>197500</v>
      </c>
      <c r="E23" s="186">
        <f t="shared" si="1"/>
        <v>260000</v>
      </c>
      <c r="F23" s="168"/>
      <c r="I23" s="188" t="s">
        <v>103</v>
      </c>
      <c r="J23" s="186">
        <f>SUM(J20:J22)</f>
        <v>26360</v>
      </c>
      <c r="K23" s="186">
        <f t="shared" ref="K23" si="2">SUM(K20:K22)</f>
        <v>41010.578119696802</v>
      </c>
      <c r="L23" s="186">
        <f t="shared" ref="L23" si="3">SUM(L20:L22)</f>
        <v>56033.063694988123</v>
      </c>
      <c r="M23" s="186">
        <f t="shared" ref="M23" si="4">SUM(M20:M22)</f>
        <v>73248.670664102276</v>
      </c>
      <c r="N23" s="168"/>
    </row>
    <row r="24" spans="1:14" x14ac:dyDescent="0.25">
      <c r="A24" s="170"/>
      <c r="B24" s="186"/>
      <c r="C24" s="189" t="s">
        <v>151</v>
      </c>
      <c r="D24" s="189"/>
      <c r="E24" s="189"/>
      <c r="F24" s="168"/>
      <c r="I24" s="170"/>
      <c r="J24" s="186"/>
      <c r="K24" s="189" t="s">
        <v>151</v>
      </c>
      <c r="L24" s="189"/>
      <c r="M24" s="189"/>
      <c r="N24" s="168"/>
    </row>
    <row r="25" spans="1:14" x14ac:dyDescent="0.25">
      <c r="A25" s="190" t="s">
        <v>103</v>
      </c>
      <c r="B25" s="191">
        <f>D25</f>
        <v>350700</v>
      </c>
      <c r="C25" s="186">
        <f>SUM(B23,C23)</f>
        <v>293200</v>
      </c>
      <c r="D25" s="186">
        <f>SUM(B23,D23)</f>
        <v>350700</v>
      </c>
      <c r="E25" s="186">
        <f>SUM(B23,E23)</f>
        <v>413200</v>
      </c>
      <c r="F25" s="168" t="s">
        <v>276</v>
      </c>
      <c r="I25" s="190" t="s">
        <v>103</v>
      </c>
      <c r="J25" s="191">
        <f>L25</f>
        <v>82393.063694988115</v>
      </c>
      <c r="K25" s="186">
        <f>SUM(J23,K23)</f>
        <v>67370.578119696802</v>
      </c>
      <c r="L25" s="186">
        <f>SUM(J23,L23)</f>
        <v>82393.063694988115</v>
      </c>
      <c r="M25" s="186">
        <f>SUM(J23,M23)</f>
        <v>99608.670664102276</v>
      </c>
      <c r="N25" s="168" t="s">
        <v>276</v>
      </c>
    </row>
    <row r="26" spans="1:14" x14ac:dyDescent="0.25">
      <c r="A26" s="170" t="s">
        <v>270</v>
      </c>
      <c r="B26" s="192">
        <v>0.03</v>
      </c>
      <c r="C26" s="193">
        <v>0.03</v>
      </c>
      <c r="D26" s="193">
        <v>0.03</v>
      </c>
      <c r="E26" s="193">
        <v>0.03</v>
      </c>
      <c r="F26" s="168" t="s">
        <v>271</v>
      </c>
      <c r="I26" s="170" t="s">
        <v>270</v>
      </c>
      <c r="J26" s="192">
        <v>0.03</v>
      </c>
      <c r="K26" s="193">
        <v>0.03</v>
      </c>
      <c r="L26" s="193">
        <v>0.03</v>
      </c>
      <c r="M26" s="193">
        <v>0.03</v>
      </c>
      <c r="N26" s="168" t="s">
        <v>271</v>
      </c>
    </row>
    <row r="27" spans="1:14" x14ac:dyDescent="0.25">
      <c r="A27" s="170" t="s">
        <v>273</v>
      </c>
      <c r="B27" s="194">
        <v>15</v>
      </c>
      <c r="C27" s="195">
        <v>15</v>
      </c>
      <c r="D27" s="195">
        <v>15</v>
      </c>
      <c r="E27" s="195">
        <v>15</v>
      </c>
      <c r="F27" s="168" t="s">
        <v>272</v>
      </c>
      <c r="I27" s="170" t="s">
        <v>273</v>
      </c>
      <c r="J27" s="194">
        <v>15</v>
      </c>
      <c r="K27" s="195">
        <v>15</v>
      </c>
      <c r="L27" s="195">
        <v>15</v>
      </c>
      <c r="M27" s="195">
        <v>15</v>
      </c>
      <c r="N27" s="168" t="s">
        <v>272</v>
      </c>
    </row>
    <row r="28" spans="1:14" x14ac:dyDescent="0.25">
      <c r="A28" s="170" t="s">
        <v>274</v>
      </c>
      <c r="B28" s="196">
        <f>(((1+B26)^B27)-1)/(B26*(1+B26)^B27)</f>
        <v>11.937935086776077</v>
      </c>
      <c r="C28" s="196">
        <f t="shared" ref="C28:E28" si="5">(((1+C26)^C27)-1)/(C26*(1+C26)^C27)</f>
        <v>11.937935086776077</v>
      </c>
      <c r="D28" s="196">
        <f t="shared" si="5"/>
        <v>11.937935086776077</v>
      </c>
      <c r="E28" s="196">
        <f t="shared" si="5"/>
        <v>11.937935086776077</v>
      </c>
      <c r="F28" s="168"/>
      <c r="I28" s="170" t="s">
        <v>274</v>
      </c>
      <c r="J28" s="197">
        <f>(((1+J26)^J27)-1)/(J26*(1+J26)^J27)</f>
        <v>11.937935086776077</v>
      </c>
      <c r="K28" s="197">
        <f t="shared" ref="K28" si="6">(((1+K26)^K27)-1)/(K26*(1+K26)^K27)</f>
        <v>11.937935086776077</v>
      </c>
      <c r="L28" s="197">
        <f t="shared" ref="L28" si="7">(((1+L26)^L27)-1)/(L26*(1+L26)^L27)</f>
        <v>11.937935086776077</v>
      </c>
      <c r="M28" s="197">
        <f t="shared" ref="M28" si="8">(((1+M26)^M27)-1)/(M26*(1+M26)^M27)</f>
        <v>11.937935086776077</v>
      </c>
      <c r="N28" s="168"/>
    </row>
    <row r="29" spans="1:14" x14ac:dyDescent="0.25">
      <c r="A29" s="170" t="s">
        <v>269</v>
      </c>
      <c r="B29" s="185">
        <f t="shared" ref="B29:E29" si="9">B25/B28</f>
        <v>29376.939768124419</v>
      </c>
      <c r="C29" s="186">
        <f t="shared" si="9"/>
        <v>24560.361391542858</v>
      </c>
      <c r="D29" s="186">
        <f t="shared" si="9"/>
        <v>29376.939768124419</v>
      </c>
      <c r="E29" s="186">
        <f t="shared" si="9"/>
        <v>34612.351047017422</v>
      </c>
      <c r="F29" s="168" t="s">
        <v>275</v>
      </c>
      <c r="I29" s="170" t="s">
        <v>269</v>
      </c>
      <c r="J29" s="185">
        <f t="shared" ref="J29" si="10">J25/J28</f>
        <v>6901.7851995406463</v>
      </c>
      <c r="K29" s="186">
        <f t="shared" ref="K29" si="11">K25/K28</f>
        <v>5643.4029528544452</v>
      </c>
      <c r="L29" s="186">
        <f t="shared" ref="L29" si="12">L25/L28</f>
        <v>6901.7851995406463</v>
      </c>
      <c r="M29" s="186">
        <f t="shared" ref="M29" si="13">M25/M28</f>
        <v>8343.8777259260751</v>
      </c>
      <c r="N29" s="168" t="s">
        <v>275</v>
      </c>
    </row>
    <row r="30" spans="1:14" x14ac:dyDescent="0.25">
      <c r="A30" s="170"/>
      <c r="B30" s="186"/>
      <c r="C30" s="186"/>
      <c r="D30" s="186"/>
      <c r="E30" s="186"/>
      <c r="F30" s="168"/>
      <c r="I30" s="190"/>
      <c r="J30" s="186"/>
      <c r="K30" s="186"/>
      <c r="L30" s="186"/>
      <c r="M30" s="186"/>
      <c r="N30" s="168"/>
    </row>
    <row r="31" spans="1:14" x14ac:dyDescent="0.25">
      <c r="A31" s="170" t="s">
        <v>211</v>
      </c>
      <c r="B31" s="186"/>
      <c r="C31" s="186"/>
      <c r="D31" s="186"/>
      <c r="E31" s="186"/>
      <c r="F31" s="168"/>
      <c r="I31" s="170" t="s">
        <v>211</v>
      </c>
      <c r="J31" s="186"/>
      <c r="K31" s="186"/>
      <c r="L31" s="186"/>
      <c r="M31" s="186"/>
      <c r="N31" s="168"/>
    </row>
    <row r="32" spans="1:14" x14ac:dyDescent="0.25">
      <c r="A32" s="183" t="s">
        <v>153</v>
      </c>
      <c r="B32" s="186">
        <f>D32</f>
        <v>1050</v>
      </c>
      <c r="C32" s="186">
        <f>130*6</f>
        <v>780</v>
      </c>
      <c r="D32" s="186">
        <f>175*6</f>
        <v>1050</v>
      </c>
      <c r="E32" s="186">
        <f>185*6</f>
        <v>1110</v>
      </c>
      <c r="F32" s="168" t="s">
        <v>299</v>
      </c>
      <c r="I32" s="183" t="s">
        <v>153</v>
      </c>
      <c r="J32" s="186">
        <f>L32</f>
        <v>175</v>
      </c>
      <c r="K32" s="186">
        <f>130</f>
        <v>130</v>
      </c>
      <c r="L32" s="186">
        <f>175</f>
        <v>175</v>
      </c>
      <c r="M32" s="186">
        <f>185</f>
        <v>185</v>
      </c>
      <c r="N32" s="168" t="s">
        <v>299</v>
      </c>
    </row>
    <row r="33" spans="1:14" x14ac:dyDescent="0.25">
      <c r="A33" s="183" t="s">
        <v>154</v>
      </c>
      <c r="B33" s="186">
        <f>B7*32*3.35/1000</f>
        <v>578.88</v>
      </c>
      <c r="C33" s="186">
        <f t="shared" ref="C33:C39" si="14">B33*0.9</f>
        <v>520.99199999999996</v>
      </c>
      <c r="D33" s="186">
        <f t="shared" ref="D33:D39" si="15">B33*1</f>
        <v>578.88</v>
      </c>
      <c r="E33" s="186">
        <f t="shared" ref="E33:E39" si="16">B33*1.1</f>
        <v>636.76800000000003</v>
      </c>
      <c r="F33" s="198" t="s">
        <v>282</v>
      </c>
      <c r="I33" s="183" t="s">
        <v>154</v>
      </c>
      <c r="J33" s="186">
        <f>J7*32*3.35/1000*(J3/B3)</f>
        <v>111.37145138573445</v>
      </c>
      <c r="K33" s="186">
        <f t="shared" ref="K33:K39" si="17">J33*0.9</f>
        <v>100.234306247161</v>
      </c>
      <c r="L33" s="186">
        <f t="shared" ref="L33:L39" si="18">J33*1</f>
        <v>111.37145138573445</v>
      </c>
      <c r="M33" s="186">
        <f t="shared" ref="M33:M39" si="19">J33*1.1</f>
        <v>122.5085965243079</v>
      </c>
      <c r="N33" s="198" t="s">
        <v>282</v>
      </c>
    </row>
    <row r="34" spans="1:14" x14ac:dyDescent="0.25">
      <c r="A34" s="183" t="s">
        <v>155</v>
      </c>
      <c r="B34" s="186">
        <f>B7*32*4.18/1000</f>
        <v>722.30399999999997</v>
      </c>
      <c r="C34" s="186">
        <f t="shared" si="14"/>
        <v>650.07359999999994</v>
      </c>
      <c r="D34" s="186">
        <f t="shared" si="15"/>
        <v>722.30399999999997</v>
      </c>
      <c r="E34" s="186">
        <f t="shared" si="16"/>
        <v>794.53440000000001</v>
      </c>
      <c r="F34" s="168" t="s">
        <v>283</v>
      </c>
      <c r="H34" s="141"/>
      <c r="I34" s="183" t="s">
        <v>155</v>
      </c>
      <c r="J34" s="186">
        <f>J7*32*4.18*(J3/B3)/1000</f>
        <v>138.96497516190149</v>
      </c>
      <c r="K34" s="186">
        <f t="shared" si="17"/>
        <v>125.06847764571134</v>
      </c>
      <c r="L34" s="186">
        <f t="shared" si="18"/>
        <v>138.96497516190149</v>
      </c>
      <c r="M34" s="186">
        <f t="shared" si="19"/>
        <v>152.86147267809164</v>
      </c>
      <c r="N34" s="168" t="s">
        <v>283</v>
      </c>
    </row>
    <row r="35" spans="1:14" x14ac:dyDescent="0.25">
      <c r="A35" s="183" t="s">
        <v>161</v>
      </c>
      <c r="B35" s="186">
        <f>D35</f>
        <v>19200</v>
      </c>
      <c r="C35" s="186">
        <f>50*3*32*3</f>
        <v>14400</v>
      </c>
      <c r="D35" s="186">
        <f>50*4*32*3</f>
        <v>19200</v>
      </c>
      <c r="E35" s="186">
        <f>50*6*32*3</f>
        <v>28800</v>
      </c>
      <c r="F35" s="168" t="s">
        <v>293</v>
      </c>
      <c r="H35" s="141"/>
      <c r="I35" s="183" t="s">
        <v>161</v>
      </c>
      <c r="J35" s="186">
        <f>L35</f>
        <v>8421.5861522796695</v>
      </c>
      <c r="K35" s="186">
        <f>50*3*32*(J3/B3)*3</f>
        <v>6316.1896142097539</v>
      </c>
      <c r="L35" s="186">
        <f>50*4*32*(J3/B3)*3</f>
        <v>8421.5861522796695</v>
      </c>
      <c r="M35" s="186">
        <f>50*6*32*(J3/B3)*3</f>
        <v>12632.379228419508</v>
      </c>
      <c r="N35" s="168" t="s">
        <v>293</v>
      </c>
    </row>
    <row r="36" spans="1:14" x14ac:dyDescent="0.25">
      <c r="A36" s="183" t="s">
        <v>162</v>
      </c>
      <c r="B36" s="186">
        <f>21.53*B13*32</f>
        <v>3472.358400000001</v>
      </c>
      <c r="C36" s="186">
        <f t="shared" si="14"/>
        <v>3125.1225600000012</v>
      </c>
      <c r="D36" s="186">
        <f t="shared" si="15"/>
        <v>3472.358400000001</v>
      </c>
      <c r="E36" s="186">
        <f t="shared" si="16"/>
        <v>3819.5942400000013</v>
      </c>
      <c r="F36" s="168" t="s">
        <v>163</v>
      </c>
      <c r="H36" s="141"/>
      <c r="I36" s="183" t="s">
        <v>162</v>
      </c>
      <c r="J36" s="186">
        <f>21.53*J13*32</f>
        <v>1523.060698812083</v>
      </c>
      <c r="K36" s="186">
        <f t="shared" si="17"/>
        <v>1370.7546289308748</v>
      </c>
      <c r="L36" s="186">
        <f t="shared" si="18"/>
        <v>1523.060698812083</v>
      </c>
      <c r="M36" s="186">
        <f t="shared" si="19"/>
        <v>1675.3667686932915</v>
      </c>
      <c r="N36" s="168" t="s">
        <v>163</v>
      </c>
    </row>
    <row r="37" spans="1:14" x14ac:dyDescent="0.25">
      <c r="A37" s="183" t="s">
        <v>297</v>
      </c>
      <c r="B37" s="186">
        <f>50*3*32</f>
        <v>4800</v>
      </c>
      <c r="C37" s="186">
        <f>B37*0.9</f>
        <v>4320</v>
      </c>
      <c r="D37" s="186">
        <f>B37</f>
        <v>4800</v>
      </c>
      <c r="E37" s="186">
        <f>B37*1.1</f>
        <v>5280</v>
      </c>
      <c r="F37" s="168" t="s">
        <v>298</v>
      </c>
      <c r="H37" s="141"/>
      <c r="I37" s="183" t="s">
        <v>186</v>
      </c>
      <c r="J37" s="186">
        <f t="shared" ref="J37" si="20">50*3*32*($J$3/$B$3)</f>
        <v>2105.3965380699178</v>
      </c>
      <c r="K37" s="186">
        <f>J37*0.9</f>
        <v>1894.8568842629261</v>
      </c>
      <c r="L37" s="186">
        <f>J37</f>
        <v>2105.3965380699178</v>
      </c>
      <c r="M37" s="186">
        <f>J37*1.1</f>
        <v>2315.93619187691</v>
      </c>
      <c r="N37" s="168" t="s">
        <v>296</v>
      </c>
    </row>
    <row r="38" spans="1:14" x14ac:dyDescent="0.25">
      <c r="A38" s="183" t="s">
        <v>164</v>
      </c>
      <c r="B38" s="199">
        <f>'Current - Aerobic (EnviroPure)'!$B$32</f>
        <v>15000</v>
      </c>
      <c r="C38" s="186">
        <f t="shared" si="14"/>
        <v>13500</v>
      </c>
      <c r="D38" s="186">
        <f t="shared" si="15"/>
        <v>15000</v>
      </c>
      <c r="E38" s="186">
        <f t="shared" si="16"/>
        <v>16500</v>
      </c>
      <c r="F38" s="168" t="s">
        <v>191</v>
      </c>
      <c r="H38" s="141"/>
      <c r="I38" s="183" t="s">
        <v>7</v>
      </c>
      <c r="J38" s="186">
        <f>'Current - Aerobic (EnviroPure)'!$B$59</f>
        <v>2500</v>
      </c>
      <c r="K38" s="186">
        <f t="shared" si="17"/>
        <v>2250</v>
      </c>
      <c r="L38" s="186">
        <f t="shared" si="18"/>
        <v>2500</v>
      </c>
      <c r="M38" s="186">
        <f t="shared" si="19"/>
        <v>2750</v>
      </c>
      <c r="N38" s="168" t="s">
        <v>191</v>
      </c>
    </row>
    <row r="39" spans="1:14" s="203" customFormat="1" x14ac:dyDescent="0.25">
      <c r="A39" s="200" t="s">
        <v>290</v>
      </c>
      <c r="B39" s="201">
        <f>15*B13*32</f>
        <v>2419.2000000000003</v>
      </c>
      <c r="C39" s="201">
        <f t="shared" si="14"/>
        <v>2177.2800000000002</v>
      </c>
      <c r="D39" s="201">
        <f t="shared" si="15"/>
        <v>2419.2000000000003</v>
      </c>
      <c r="E39" s="201">
        <f t="shared" si="16"/>
        <v>2661.1200000000003</v>
      </c>
      <c r="F39" s="202" t="s">
        <v>291</v>
      </c>
      <c r="H39" s="204"/>
      <c r="I39" s="200" t="s">
        <v>290</v>
      </c>
      <c r="J39" s="201">
        <f>15*J13*32</f>
        <v>1061.1198551872385</v>
      </c>
      <c r="K39" s="201">
        <f t="shared" si="17"/>
        <v>955.00786966851467</v>
      </c>
      <c r="L39" s="201">
        <f t="shared" si="18"/>
        <v>1061.1198551872385</v>
      </c>
      <c r="M39" s="201">
        <f t="shared" si="19"/>
        <v>1167.2318407059624</v>
      </c>
      <c r="N39" s="202" t="s">
        <v>291</v>
      </c>
    </row>
    <row r="40" spans="1:14" x14ac:dyDescent="0.25">
      <c r="A40" s="205" t="s">
        <v>214</v>
      </c>
      <c r="B40" s="189">
        <f>SUM(B32:B38)</f>
        <v>44823.542400000006</v>
      </c>
      <c r="C40" s="189">
        <f>SUM(C32:C38)</f>
        <v>37296.188160000005</v>
      </c>
      <c r="D40" s="189">
        <f>SUM(D32:D38)</f>
        <v>44823.542400000006</v>
      </c>
      <c r="E40" s="189">
        <f>SUM(E32:E38)</f>
        <v>56940.896639999999</v>
      </c>
      <c r="F40" s="168"/>
      <c r="H40" s="141"/>
      <c r="I40" s="205" t="s">
        <v>214</v>
      </c>
      <c r="J40" s="189">
        <f>SUM(J32:J38)</f>
        <v>14975.379815709306</v>
      </c>
      <c r="K40" s="189">
        <f>SUM(K32:K38)</f>
        <v>12187.103911296426</v>
      </c>
      <c r="L40" s="189">
        <f>SUM(L32:L38)</f>
        <v>14975.379815709306</v>
      </c>
      <c r="M40" s="189">
        <f>SUM(M32:M38)</f>
        <v>19834.05225819211</v>
      </c>
      <c r="N40" s="168"/>
    </row>
    <row r="41" spans="1:14" x14ac:dyDescent="0.25">
      <c r="A41" s="206" t="s">
        <v>212</v>
      </c>
      <c r="B41" s="207">
        <f>B29+B40</f>
        <v>74200.482168124421</v>
      </c>
      <c r="C41" s="207">
        <f>C29+C40</f>
        <v>61856.549551542863</v>
      </c>
      <c r="D41" s="207">
        <f>D29+D40</f>
        <v>74200.482168124421</v>
      </c>
      <c r="E41" s="207">
        <f>E29+E40</f>
        <v>91553.247687017429</v>
      </c>
      <c r="F41" s="208" t="s">
        <v>213</v>
      </c>
      <c r="G41" s="141"/>
      <c r="H41" s="141"/>
      <c r="I41" s="206" t="s">
        <v>212</v>
      </c>
      <c r="J41" s="207">
        <f>J29+J40</f>
        <v>21877.165015249953</v>
      </c>
      <c r="K41" s="207">
        <f>K29+K40</f>
        <v>17830.50686415087</v>
      </c>
      <c r="L41" s="207">
        <f>L29+L40</f>
        <v>21877.165015249953</v>
      </c>
      <c r="M41" s="207">
        <f>M29+M40</f>
        <v>28177.929984118186</v>
      </c>
      <c r="N41" s="208" t="s">
        <v>213</v>
      </c>
    </row>
    <row r="42" spans="1:14" x14ac:dyDescent="0.25">
      <c r="A42" s="209"/>
      <c r="B42" s="210"/>
      <c r="C42" s="210"/>
      <c r="D42" s="210"/>
      <c r="E42" s="210"/>
      <c r="F42" s="211"/>
      <c r="G42" s="141"/>
      <c r="H42" s="141"/>
      <c r="I42" s="209"/>
      <c r="J42" s="212"/>
      <c r="K42" s="212"/>
      <c r="L42" s="212"/>
      <c r="M42" s="212"/>
      <c r="N42" s="213"/>
    </row>
    <row r="43" spans="1:14" x14ac:dyDescent="0.25">
      <c r="A43" s="375" t="s">
        <v>165</v>
      </c>
      <c r="B43" s="376"/>
      <c r="C43" s="376"/>
      <c r="D43" s="376"/>
      <c r="E43" s="377"/>
      <c r="F43" s="214"/>
      <c r="G43" s="141"/>
      <c r="H43" s="141"/>
      <c r="I43" s="378" t="s">
        <v>165</v>
      </c>
      <c r="J43" s="378"/>
      <c r="K43" s="378"/>
      <c r="L43" s="378"/>
      <c r="M43" s="378"/>
      <c r="N43" s="215"/>
    </row>
    <row r="44" spans="1:14" x14ac:dyDescent="0.25">
      <c r="A44" s="171" t="s">
        <v>221</v>
      </c>
      <c r="B44" s="168"/>
      <c r="C44" s="216"/>
      <c r="D44" s="216"/>
      <c r="E44" s="216"/>
      <c r="F44" s="168"/>
      <c r="G44" s="141"/>
      <c r="I44" s="190" t="s">
        <v>221</v>
      </c>
      <c r="J44" s="186"/>
      <c r="K44" s="186"/>
      <c r="L44" s="186"/>
      <c r="M44" s="186"/>
      <c r="N44" s="168"/>
    </row>
    <row r="45" spans="1:14" x14ac:dyDescent="0.25">
      <c r="A45" s="217" t="s">
        <v>169</v>
      </c>
      <c r="B45" s="186">
        <f>'Biogas to electricity - Input'!$D$35</f>
        <v>4575.170752735834</v>
      </c>
      <c r="C45" s="186">
        <f>B45*0.9</f>
        <v>4117.6536774622509</v>
      </c>
      <c r="D45" s="186">
        <f>B45</f>
        <v>4575.170752735834</v>
      </c>
      <c r="E45" s="186">
        <f>B45*1.1</f>
        <v>5032.6878280094179</v>
      </c>
      <c r="F45" s="168" t="s">
        <v>168</v>
      </c>
      <c r="G45" s="141"/>
      <c r="I45" s="217" t="s">
        <v>169</v>
      </c>
      <c r="J45" s="186">
        <f>'Biogas to electricity - Input'!$D$35*(J3/B3)</f>
        <v>2006.7809716434924</v>
      </c>
      <c r="K45" s="186">
        <f>J45*0.9</f>
        <v>1806.1028744791431</v>
      </c>
      <c r="L45" s="186">
        <f>J45</f>
        <v>2006.7809716434924</v>
      </c>
      <c r="M45" s="186">
        <f>J45*1.1</f>
        <v>2207.459068807842</v>
      </c>
      <c r="N45" s="168" t="s">
        <v>168</v>
      </c>
    </row>
    <row r="46" spans="1:14" x14ac:dyDescent="0.25">
      <c r="A46" s="218" t="s">
        <v>180</v>
      </c>
      <c r="B46" s="186">
        <f>'Biogas to electricity - Input'!$F$35</f>
        <v>186.37704133314341</v>
      </c>
      <c r="C46" s="186">
        <f>B46*0.9</f>
        <v>167.73933719982907</v>
      </c>
      <c r="D46" s="186">
        <f>B46</f>
        <v>186.37704133314341</v>
      </c>
      <c r="E46" s="186">
        <f>B46*1.1</f>
        <v>205.01474546645775</v>
      </c>
      <c r="F46" s="168" t="s">
        <v>166</v>
      </c>
      <c r="G46" s="141"/>
      <c r="I46" s="218" t="s">
        <v>180</v>
      </c>
      <c r="J46" s="186">
        <f>'Biogas to electricity - Input'!$F$35*(J3/B3)</f>
        <v>81.749495333023759</v>
      </c>
      <c r="K46" s="186">
        <f>J46*0.9</f>
        <v>73.574545799721392</v>
      </c>
      <c r="L46" s="186">
        <f>J46</f>
        <v>81.749495333023759</v>
      </c>
      <c r="M46" s="186">
        <f>J46*1.1</f>
        <v>89.924444866326141</v>
      </c>
      <c r="N46" s="168" t="s">
        <v>166</v>
      </c>
    </row>
    <row r="47" spans="1:14" x14ac:dyDescent="0.25">
      <c r="A47" s="217" t="s">
        <v>167</v>
      </c>
      <c r="B47" s="186">
        <f>'Biogas to electricity - Input'!$E$35</f>
        <v>869.9879071557848</v>
      </c>
      <c r="C47" s="186">
        <f>B47*0.9</f>
        <v>782.98911644020632</v>
      </c>
      <c r="D47" s="186">
        <f>B47</f>
        <v>869.9879071557848</v>
      </c>
      <c r="E47" s="186">
        <f>B47*1.1</f>
        <v>956.98669787136339</v>
      </c>
      <c r="F47" s="168" t="s">
        <v>168</v>
      </c>
      <c r="G47" s="141"/>
      <c r="I47" s="217" t="s">
        <v>167</v>
      </c>
      <c r="J47" s="186">
        <f>'Biogas to electricity - Input'!$E$35*(J3/B3)</f>
        <v>381.59781831010048</v>
      </c>
      <c r="K47" s="186">
        <f>J47*0.9</f>
        <v>343.43803647909044</v>
      </c>
      <c r="L47" s="186">
        <f>J47</f>
        <v>381.59781831010048</v>
      </c>
      <c r="M47" s="186">
        <f>J47*1.1</f>
        <v>419.75760014111057</v>
      </c>
      <c r="N47" s="168" t="s">
        <v>168</v>
      </c>
    </row>
    <row r="48" spans="1:14" x14ac:dyDescent="0.25">
      <c r="A48" s="217" t="s">
        <v>170</v>
      </c>
      <c r="B48" s="186">
        <f>'Alton report, Credit Sales'!$D$31</f>
        <v>-2781.1921913367355</v>
      </c>
      <c r="C48" s="186">
        <f>B48*0.9</f>
        <v>-2503.0729722030619</v>
      </c>
      <c r="D48" s="186">
        <f>B48</f>
        <v>-2781.1921913367355</v>
      </c>
      <c r="E48" s="186">
        <f>B48*1.1</f>
        <v>-3059.3114104704091</v>
      </c>
      <c r="F48" s="168"/>
      <c r="G48" s="141"/>
      <c r="I48" s="217" t="s">
        <v>170</v>
      </c>
      <c r="J48" s="186">
        <f>'Alton report, Credit Sales'!$D$31*(J3/B3)</f>
        <v>-1219.898419030719</v>
      </c>
      <c r="K48" s="186">
        <f>J48*0.9</f>
        <v>-1097.908577127647</v>
      </c>
      <c r="L48" s="186">
        <f>J48</f>
        <v>-1219.898419030719</v>
      </c>
      <c r="M48" s="186">
        <f>J48*1.1</f>
        <v>-1341.8882609337909</v>
      </c>
      <c r="N48" s="168"/>
    </row>
    <row r="49" spans="1:14" x14ac:dyDescent="0.25">
      <c r="A49" s="190" t="s">
        <v>217</v>
      </c>
      <c r="B49" s="189">
        <f>SUM(B45:B48)</f>
        <v>2850.3435098880268</v>
      </c>
      <c r="C49" s="189">
        <f>SUM(C45:C48)</f>
        <v>2565.3091588992238</v>
      </c>
      <c r="D49" s="189">
        <f>SUM(D45:D48)</f>
        <v>2850.3435098880268</v>
      </c>
      <c r="E49" s="189">
        <f>SUM(E45:E48)</f>
        <v>3135.3778608768298</v>
      </c>
      <c r="F49" s="168" t="s">
        <v>218</v>
      </c>
      <c r="G49" s="141"/>
      <c r="I49" s="219" t="s">
        <v>217</v>
      </c>
      <c r="J49" s="189">
        <f>SUM(J45:J48)</f>
        <v>1250.2298662558976</v>
      </c>
      <c r="K49" s="189">
        <f>SUM(K45:K48)</f>
        <v>1125.2068796303081</v>
      </c>
      <c r="L49" s="189">
        <f>SUM(L45:L48)</f>
        <v>1250.2298662558976</v>
      </c>
      <c r="M49" s="189">
        <f>SUM(M45:M48)</f>
        <v>1375.252852881488</v>
      </c>
      <c r="N49" s="220" t="s">
        <v>218</v>
      </c>
    </row>
    <row r="50" spans="1:14" x14ac:dyDescent="0.25">
      <c r="A50" s="167"/>
      <c r="B50" s="168"/>
      <c r="C50" s="168"/>
      <c r="D50" s="168"/>
      <c r="E50" s="168"/>
      <c r="F50" s="168"/>
      <c r="G50" s="141"/>
      <c r="I50" s="167"/>
      <c r="J50" s="168"/>
      <c r="K50" s="168"/>
      <c r="L50" s="168"/>
      <c r="M50" s="168"/>
      <c r="N50" s="168"/>
    </row>
    <row r="51" spans="1:14" x14ac:dyDescent="0.25">
      <c r="A51" s="170" t="s">
        <v>222</v>
      </c>
      <c r="B51" s="168"/>
      <c r="C51" s="168"/>
      <c r="D51" s="168"/>
      <c r="E51" s="168"/>
      <c r="F51" s="168"/>
      <c r="G51" s="141"/>
      <c r="I51" s="170" t="s">
        <v>222</v>
      </c>
      <c r="J51" s="168"/>
      <c r="K51" s="168"/>
      <c r="L51" s="168"/>
      <c r="M51" s="168"/>
      <c r="N51" s="168"/>
    </row>
    <row r="52" spans="1:14" x14ac:dyDescent="0.25">
      <c r="A52" s="170" t="s">
        <v>219</v>
      </c>
      <c r="B52" s="168"/>
      <c r="C52" s="168"/>
      <c r="D52" s="168"/>
      <c r="E52" s="168"/>
      <c r="F52" s="168"/>
      <c r="H52" s="141"/>
      <c r="I52" s="170" t="s">
        <v>219</v>
      </c>
      <c r="J52" s="168"/>
      <c r="K52" s="168"/>
      <c r="L52" s="168"/>
      <c r="M52" s="168"/>
      <c r="N52" s="168"/>
    </row>
    <row r="53" spans="1:14" x14ac:dyDescent="0.25">
      <c r="A53" s="100" t="s">
        <v>55</v>
      </c>
      <c r="B53" s="92">
        <f>'Alton report, Credit Sales'!$C$28</f>
        <v>9664.2211221503985</v>
      </c>
      <c r="C53" s="92">
        <f>'Alton report, Credit Sales'!$C$27*0.75</f>
        <v>3624.0829208063997</v>
      </c>
      <c r="D53" s="92">
        <f>B53</f>
        <v>9664.2211221503985</v>
      </c>
      <c r="E53" s="92">
        <f>'Alton report, Credit Sales'!$C$27*2.75</f>
        <v>13288.304042956797</v>
      </c>
      <c r="F53" s="79" t="s">
        <v>361</v>
      </c>
      <c r="H53" s="141"/>
      <c r="I53" s="100" t="s">
        <v>55</v>
      </c>
      <c r="J53" s="92">
        <f>'Alton report, Credit Sales'!$C$28*(J7/B7)</f>
        <v>4238.9620195245052</v>
      </c>
      <c r="K53" s="92">
        <f>'Alton report, Credit Sales'!$C$27*0.75*(J7/B7)</f>
        <v>1589.6107573216893</v>
      </c>
      <c r="L53" s="92">
        <f>J53</f>
        <v>4238.9620195245052</v>
      </c>
      <c r="M53" s="92">
        <f>'Alton report, Credit Sales'!$C$27*2.75*(J7/B7)</f>
        <v>5828.5727768461938</v>
      </c>
      <c r="N53" s="154" t="s">
        <v>361</v>
      </c>
    </row>
    <row r="54" spans="1:14" x14ac:dyDescent="0.25">
      <c r="A54" s="221" t="s">
        <v>173</v>
      </c>
      <c r="B54" s="186">
        <f>'Alton report, Credit Sales'!$E$5</f>
        <v>2188.9047840767998</v>
      </c>
      <c r="C54" s="186">
        <f>'Alton report, Credit Sales'!$C$5*50</f>
        <v>1094.4523920383999</v>
      </c>
      <c r="D54" s="186">
        <f>B54</f>
        <v>2188.9047840767998</v>
      </c>
      <c r="E54" s="186">
        <f>'Alton report, Credit Sales'!$C$5*150</f>
        <v>3283.3571761152002</v>
      </c>
      <c r="F54" s="168" t="s">
        <v>174</v>
      </c>
      <c r="H54" s="141"/>
      <c r="I54" s="222" t="s">
        <v>173</v>
      </c>
      <c r="J54" s="186">
        <f>'Alton report, Credit Sales'!$E$5*(J3/B3)</f>
        <v>960.10678219999477</v>
      </c>
      <c r="K54" s="186">
        <f>'Alton report, Credit Sales'!$C$5*50*(1.6/12)</f>
        <v>145.92698560512</v>
      </c>
      <c r="L54" s="186">
        <f>J54</f>
        <v>960.10678219999477</v>
      </c>
      <c r="M54" s="186">
        <f>'Alton report, Credit Sales'!$C$5*150*(1.6/12)</f>
        <v>437.78095681536001</v>
      </c>
      <c r="N54" s="168" t="s">
        <v>174</v>
      </c>
    </row>
    <row r="55" spans="1:14" x14ac:dyDescent="0.25">
      <c r="A55" s="170" t="s">
        <v>223</v>
      </c>
      <c r="B55" s="186">
        <f>SUM(B53:B54)</f>
        <v>11853.125906227198</v>
      </c>
      <c r="C55" s="186">
        <f>SUM(C53:C54)</f>
        <v>4718.5353128447996</v>
      </c>
      <c r="D55" s="186">
        <f>SUM(D53:D54)</f>
        <v>11853.125906227198</v>
      </c>
      <c r="E55" s="186">
        <f>SUM(E53:E54)</f>
        <v>16571.661219071997</v>
      </c>
      <c r="F55" s="168"/>
      <c r="H55" s="141"/>
      <c r="I55" s="170" t="s">
        <v>220</v>
      </c>
      <c r="J55" s="186">
        <f>SUM(J53:J54)</f>
        <v>5199.0688017245002</v>
      </c>
      <c r="K55" s="186">
        <f>SUM(K53:K54)</f>
        <v>1735.5377429268094</v>
      </c>
      <c r="L55" s="186">
        <f>SUM(L53:L54)</f>
        <v>5199.0688017245002</v>
      </c>
      <c r="M55" s="186">
        <f>SUM(M53:M54)</f>
        <v>6266.3537336615536</v>
      </c>
      <c r="N55" s="168"/>
    </row>
    <row r="56" spans="1:14" x14ac:dyDescent="0.25">
      <c r="A56" s="217" t="s">
        <v>172</v>
      </c>
      <c r="B56" s="186">
        <f>'Alton report, Credit Sales'!$C$39</f>
        <v>1234.2176795098276</v>
      </c>
      <c r="C56" s="186">
        <f>D56*0.9</f>
        <v>1110.7959115588449</v>
      </c>
      <c r="D56" s="186">
        <f>B56</f>
        <v>1234.2176795098276</v>
      </c>
      <c r="E56" s="186">
        <f>B56*1.1</f>
        <v>1357.6394474608105</v>
      </c>
      <c r="F56" s="79" t="s">
        <v>343</v>
      </c>
      <c r="I56" s="217" t="s">
        <v>172</v>
      </c>
      <c r="J56" s="186">
        <f>'Alton report, Credit Sales'!$C$39*(J3/B3)</f>
        <v>541.35783951347457</v>
      </c>
      <c r="K56" s="186">
        <f>L56*0.9</f>
        <v>487.22205556212714</v>
      </c>
      <c r="L56" s="186">
        <f>J56</f>
        <v>541.35783951347457</v>
      </c>
      <c r="M56" s="186">
        <f>J56*1.1</f>
        <v>595.49362346482212</v>
      </c>
      <c r="N56" s="79" t="s">
        <v>343</v>
      </c>
    </row>
    <row r="57" spans="1:14" x14ac:dyDescent="0.25">
      <c r="A57" s="221" t="s">
        <v>175</v>
      </c>
      <c r="B57" s="186">
        <f>'Alton report, Credit Sales'!C42</f>
        <v>-182.21543249716603</v>
      </c>
      <c r="C57" s="186">
        <f>B57*0.9</f>
        <v>-163.99388924744943</v>
      </c>
      <c r="D57" s="186">
        <f>B57</f>
        <v>-182.21543249716603</v>
      </c>
      <c r="E57" s="186">
        <f>B57*1.1</f>
        <v>-200.43697574688267</v>
      </c>
      <c r="F57" s="168" t="s">
        <v>227</v>
      </c>
      <c r="I57" s="221" t="s">
        <v>175</v>
      </c>
      <c r="J57" s="186">
        <f>B57*(J3/B3)</f>
        <v>-79.924112658842944</v>
      </c>
      <c r="K57" s="186">
        <f>J57*0.9</f>
        <v>-71.931701392958658</v>
      </c>
      <c r="L57" s="186">
        <f>J57</f>
        <v>-79.924112658842944</v>
      </c>
      <c r="M57" s="186">
        <f>J57*1.1</f>
        <v>-87.916523924727244</v>
      </c>
      <c r="N57" s="168" t="s">
        <v>227</v>
      </c>
    </row>
    <row r="58" spans="1:14" x14ac:dyDescent="0.25">
      <c r="A58" s="109" t="s">
        <v>324</v>
      </c>
      <c r="B58" s="92">
        <f>'Alton report, Credit Sales'!$K$28</f>
        <v>-4142.6253555041485</v>
      </c>
      <c r="C58" s="92">
        <f>B58*0.9</f>
        <v>-3728.3628199537338</v>
      </c>
      <c r="D58" s="92">
        <f>B58</f>
        <v>-4142.6253555041485</v>
      </c>
      <c r="E58" s="92">
        <f>B58*1.1</f>
        <v>-4556.8878910545636</v>
      </c>
      <c r="F58" s="79" t="s">
        <v>332</v>
      </c>
      <c r="I58" s="109" t="s">
        <v>324</v>
      </c>
      <c r="J58" s="92">
        <f>B58*J7/B7</f>
        <v>-1817.0560587498119</v>
      </c>
      <c r="K58" s="92">
        <f>J58*0.9</f>
        <v>-1635.3504528748308</v>
      </c>
      <c r="L58" s="92">
        <f>J58</f>
        <v>-1817.0560587498119</v>
      </c>
      <c r="M58" s="92">
        <f>J58*1.1</f>
        <v>-1998.7616646247932</v>
      </c>
      <c r="N58" s="79" t="s">
        <v>332</v>
      </c>
    </row>
    <row r="59" spans="1:14" x14ac:dyDescent="0.25">
      <c r="A59" s="109" t="s">
        <v>331</v>
      </c>
      <c r="B59" s="92">
        <f>B55*20%*(-1)</f>
        <v>-2370.6251812454398</v>
      </c>
      <c r="C59" s="92">
        <f>C55*20%*(-1)</f>
        <v>-943.70706256895994</v>
      </c>
      <c r="D59" s="92">
        <f>D55*20%*(-1)</f>
        <v>-2370.6251812454398</v>
      </c>
      <c r="E59" s="92">
        <f>E55*20%*(-1)</f>
        <v>-3314.3322438143996</v>
      </c>
      <c r="F59" s="79" t="s">
        <v>252</v>
      </c>
      <c r="I59" s="109" t="s">
        <v>331</v>
      </c>
      <c r="J59" s="92">
        <f>(J53+J54)*20%*(-1)</f>
        <v>-1039.8137603449002</v>
      </c>
      <c r="K59" s="92">
        <f>(K53+K54)*20%*(-1)</f>
        <v>-347.10754858536188</v>
      </c>
      <c r="L59" s="92">
        <f>(L53+L54)*20%*(-1)</f>
        <v>-1039.8137603449002</v>
      </c>
      <c r="M59" s="92">
        <f>(M53+M54)*20%*(-1)</f>
        <v>-1253.2707467323107</v>
      </c>
      <c r="N59" s="154" t="s">
        <v>252</v>
      </c>
    </row>
    <row r="60" spans="1:14" x14ac:dyDescent="0.25">
      <c r="A60" s="206" t="s">
        <v>226</v>
      </c>
      <c r="B60" s="207">
        <f>SUM(B55:B59)</f>
        <v>6391.8776164902738</v>
      </c>
      <c r="C60" s="189">
        <f>SUM(C55:C59)</f>
        <v>993.26745263350119</v>
      </c>
      <c r="D60" s="189">
        <f>SUM(D55:D59)</f>
        <v>6391.8776164902738</v>
      </c>
      <c r="E60" s="189">
        <f>SUM(E55:E59)</f>
        <v>9857.6435559169622</v>
      </c>
      <c r="F60" s="220" t="s">
        <v>225</v>
      </c>
      <c r="I60" s="188" t="s">
        <v>226</v>
      </c>
      <c r="J60" s="189">
        <f>SUM(J55:J59)</f>
        <v>2803.6327094844191</v>
      </c>
      <c r="K60" s="189">
        <f>SUM(K55:K59)</f>
        <v>168.37009563578545</v>
      </c>
      <c r="L60" s="189">
        <f>SUM(L55:L59)</f>
        <v>2803.6327094844191</v>
      </c>
      <c r="M60" s="189">
        <f>SUM(M55:M59)</f>
        <v>3521.8984218445439</v>
      </c>
      <c r="N60" s="220" t="s">
        <v>225</v>
      </c>
    </row>
    <row r="61" spans="1:14" x14ac:dyDescent="0.25">
      <c r="A61" s="223"/>
      <c r="B61" s="224"/>
      <c r="C61" s="225"/>
      <c r="D61" s="225"/>
      <c r="E61" s="225"/>
      <c r="F61" s="226"/>
    </row>
    <row r="62" spans="1:14" x14ac:dyDescent="0.25">
      <c r="A62" s="227"/>
      <c r="B62" s="228"/>
      <c r="C62" s="225"/>
      <c r="D62" s="225"/>
      <c r="E62" s="225"/>
      <c r="F62" s="226"/>
    </row>
    <row r="63" spans="1:14" x14ac:dyDescent="0.25">
      <c r="A63" s="374" t="s">
        <v>363</v>
      </c>
      <c r="B63" s="374"/>
      <c r="F63"/>
      <c r="G63"/>
      <c r="H63"/>
    </row>
    <row r="64" spans="1:14" x14ac:dyDescent="0.25">
      <c r="A64" s="167" t="s">
        <v>193</v>
      </c>
      <c r="B64" s="169">
        <f>'Food waste'!B25</f>
        <v>3190.4061545423688</v>
      </c>
      <c r="D64" s="191">
        <f>D55+D56</f>
        <v>13087.343585737026</v>
      </c>
      <c r="F64"/>
      <c r="G64"/>
      <c r="H64"/>
    </row>
    <row r="65" spans="1:8" x14ac:dyDescent="0.25">
      <c r="A65" s="170" t="s">
        <v>194</v>
      </c>
      <c r="B65" s="172">
        <f>B64/2000</f>
        <v>1.5952030772711845</v>
      </c>
      <c r="D65" s="191">
        <f>D64*25%</f>
        <v>3271.8358964342565</v>
      </c>
      <c r="F65"/>
      <c r="G65"/>
      <c r="H65"/>
    </row>
    <row r="66" spans="1:8" x14ac:dyDescent="0.25">
      <c r="A66" s="173" t="s">
        <v>202</v>
      </c>
      <c r="B66" s="174">
        <v>0.15</v>
      </c>
      <c r="D66"/>
      <c r="E66"/>
      <c r="F66"/>
      <c r="G66"/>
      <c r="H66"/>
    </row>
    <row r="67" spans="1:8" x14ac:dyDescent="0.25">
      <c r="A67" s="173" t="s">
        <v>203</v>
      </c>
      <c r="B67" s="174">
        <v>0.85</v>
      </c>
      <c r="D67"/>
      <c r="E67"/>
      <c r="F67"/>
      <c r="G67"/>
      <c r="H67"/>
    </row>
    <row r="68" spans="1:8" x14ac:dyDescent="0.25">
      <c r="A68" s="167" t="s">
        <v>204</v>
      </c>
      <c r="B68" s="169">
        <f>B65*B66</f>
        <v>0.23928046159067767</v>
      </c>
      <c r="D68"/>
      <c r="E68"/>
      <c r="F68"/>
      <c r="G68"/>
      <c r="H68"/>
    </row>
    <row r="69" spans="1:8" x14ac:dyDescent="0.25">
      <c r="A69" s="167" t="s">
        <v>280</v>
      </c>
      <c r="B69" s="175">
        <f>'Food waste'!$H$16*(3/5)</f>
        <v>717.84138477203282</v>
      </c>
      <c r="D69"/>
      <c r="E69"/>
      <c r="F69"/>
      <c r="G69"/>
      <c r="H69"/>
    </row>
    <row r="70" spans="1:8" x14ac:dyDescent="0.25">
      <c r="A70" s="167" t="s">
        <v>281</v>
      </c>
      <c r="B70" s="169">
        <f>B69/250</f>
        <v>2.8713655390881314</v>
      </c>
      <c r="D70"/>
      <c r="E70"/>
      <c r="F70"/>
      <c r="G70"/>
      <c r="H70"/>
    </row>
    <row r="71" spans="1:8" x14ac:dyDescent="0.25">
      <c r="A71" s="167"/>
      <c r="B71" s="168"/>
      <c r="D71"/>
      <c r="E71"/>
      <c r="F71"/>
      <c r="G71"/>
      <c r="H71"/>
    </row>
    <row r="72" spans="1:8" x14ac:dyDescent="0.25">
      <c r="A72" s="170" t="s">
        <v>197</v>
      </c>
      <c r="B72" s="176">
        <v>0.85</v>
      </c>
      <c r="D72"/>
      <c r="E72"/>
      <c r="F72"/>
      <c r="G72"/>
      <c r="H72"/>
    </row>
    <row r="73" spans="1:8" x14ac:dyDescent="0.25">
      <c r="A73" s="167" t="s">
        <v>201</v>
      </c>
      <c r="B73" s="169">
        <f>B70+B65</f>
        <v>4.4665686163593161</v>
      </c>
      <c r="D73"/>
      <c r="E73"/>
      <c r="F73"/>
      <c r="G73"/>
      <c r="H73"/>
    </row>
    <row r="74" spans="1:8" x14ac:dyDescent="0.25">
      <c r="A74" s="173" t="s">
        <v>205</v>
      </c>
      <c r="B74" s="179">
        <f>((B65*15%)+(B70*0%))/B73</f>
        <v>5.3571428571428575E-2</v>
      </c>
      <c r="D74"/>
      <c r="E74"/>
      <c r="F74"/>
      <c r="G74"/>
      <c r="H74"/>
    </row>
    <row r="75" spans="1:8" x14ac:dyDescent="0.25">
      <c r="A75" s="170" t="s">
        <v>200</v>
      </c>
      <c r="B75" s="172">
        <f>B73*(1-B72)</f>
        <v>0.66998529245389749</v>
      </c>
      <c r="D75"/>
      <c r="E75"/>
      <c r="F75"/>
    </row>
    <row r="76" spans="1:8" x14ac:dyDescent="0.25">
      <c r="A76" s="173" t="s">
        <v>206</v>
      </c>
      <c r="B76" s="182">
        <f>(B73*B74)</f>
        <v>0.23928046159067767</v>
      </c>
    </row>
    <row r="77" spans="1:8" x14ac:dyDescent="0.25">
      <c r="A77" s="183" t="s">
        <v>207</v>
      </c>
      <c r="B77" s="184">
        <f>B76/B75</f>
        <v>0.35714285714285715</v>
      </c>
    </row>
    <row r="79" spans="1:8" x14ac:dyDescent="0.25">
      <c r="A79" s="379" t="s">
        <v>199</v>
      </c>
      <c r="B79" s="379"/>
      <c r="C79" s="379"/>
      <c r="D79" s="379"/>
      <c r="E79" s="379"/>
      <c r="F79" s="168"/>
    </row>
    <row r="80" spans="1:8" x14ac:dyDescent="0.25">
      <c r="A80" s="170"/>
      <c r="B80" s="185" t="s">
        <v>144</v>
      </c>
      <c r="C80" s="380" t="s">
        <v>145</v>
      </c>
      <c r="D80" s="380"/>
      <c r="E80" s="380"/>
      <c r="F80" s="168"/>
    </row>
    <row r="81" spans="1:11" x14ac:dyDescent="0.25">
      <c r="A81" s="170"/>
      <c r="B81" s="186"/>
      <c r="C81" s="185" t="s">
        <v>146</v>
      </c>
      <c r="D81" s="185" t="s">
        <v>147</v>
      </c>
      <c r="E81" s="185" t="s">
        <v>148</v>
      </c>
      <c r="F81" s="168"/>
    </row>
    <row r="82" spans="1:11" x14ac:dyDescent="0.25">
      <c r="A82" s="170" t="s">
        <v>87</v>
      </c>
      <c r="B82" s="186">
        <v>25000</v>
      </c>
      <c r="C82" s="186">
        <f>B82*0.5</f>
        <v>12500</v>
      </c>
      <c r="D82" s="186">
        <f>B82*0.75</f>
        <v>18750</v>
      </c>
      <c r="E82" s="186">
        <f>B82*1</f>
        <v>25000</v>
      </c>
      <c r="F82" s="168"/>
    </row>
    <row r="83" spans="1:11" x14ac:dyDescent="0.25">
      <c r="A83" s="170" t="s">
        <v>177</v>
      </c>
      <c r="B83" s="186">
        <f>'Food waste'!Q38*80</f>
        <v>400</v>
      </c>
      <c r="C83" s="186">
        <v>0</v>
      </c>
      <c r="D83" s="186">
        <v>0</v>
      </c>
      <c r="E83" s="186">
        <v>0</v>
      </c>
      <c r="F83" s="168" t="s">
        <v>292</v>
      </c>
    </row>
    <row r="84" spans="1:11" x14ac:dyDescent="0.25">
      <c r="A84" s="247" t="s">
        <v>294</v>
      </c>
      <c r="B84" s="248">
        <v>0</v>
      </c>
      <c r="C84" s="248">
        <f t="shared" ref="C84:E84" si="21">C22*($B$65/$B$3)</f>
        <v>8640.6833352189151</v>
      </c>
      <c r="D84" s="248">
        <f t="shared" si="21"/>
        <v>11299.355130670889</v>
      </c>
      <c r="E84" s="248">
        <f t="shared" si="21"/>
        <v>14622.694874985857</v>
      </c>
      <c r="F84" s="168"/>
    </row>
    <row r="85" spans="1:11" x14ac:dyDescent="0.25">
      <c r="A85" s="188" t="s">
        <v>103</v>
      </c>
      <c r="B85" s="186">
        <f>SUM(B82:B83)</f>
        <v>25400</v>
      </c>
      <c r="C85" s="186">
        <f t="shared" ref="C85" si="22">SUM(C82:C84)</f>
        <v>21140.683335218913</v>
      </c>
      <c r="D85" s="186">
        <f t="shared" ref="D85" si="23">SUM(D82:D84)</f>
        <v>30049.355130670891</v>
      </c>
      <c r="E85" s="186">
        <f t="shared" ref="E85" si="24">SUM(E82:E84)</f>
        <v>39622.694874985857</v>
      </c>
      <c r="F85" s="168"/>
    </row>
    <row r="86" spans="1:11" x14ac:dyDescent="0.25">
      <c r="A86" s="170"/>
      <c r="B86" s="186"/>
      <c r="C86" s="189" t="s">
        <v>151</v>
      </c>
      <c r="D86" s="189"/>
      <c r="E86" s="189"/>
      <c r="F86" s="168"/>
    </row>
    <row r="87" spans="1:11" x14ac:dyDescent="0.25">
      <c r="A87" s="190" t="s">
        <v>103</v>
      </c>
      <c r="B87" s="191">
        <f>D87</f>
        <v>55449.355130670891</v>
      </c>
      <c r="C87" s="186">
        <f>SUM(B85,C85)</f>
        <v>46540.683335218913</v>
      </c>
      <c r="D87" s="186">
        <f>SUM(B85,D85)</f>
        <v>55449.355130670891</v>
      </c>
      <c r="E87" s="186">
        <f>SUM(B85,E85)</f>
        <v>65022.694874985857</v>
      </c>
      <c r="F87" s="168" t="s">
        <v>276</v>
      </c>
    </row>
    <row r="88" spans="1:11" x14ac:dyDescent="0.25">
      <c r="A88" s="170" t="s">
        <v>270</v>
      </c>
      <c r="B88" s="192">
        <v>0.03</v>
      </c>
      <c r="C88" s="193">
        <v>0.03</v>
      </c>
      <c r="D88" s="193">
        <v>0.03</v>
      </c>
      <c r="E88" s="193">
        <v>0.03</v>
      </c>
      <c r="F88" s="168" t="s">
        <v>271</v>
      </c>
    </row>
    <row r="89" spans="1:11" x14ac:dyDescent="0.25">
      <c r="A89" s="170" t="s">
        <v>273</v>
      </c>
      <c r="B89" s="194">
        <v>15</v>
      </c>
      <c r="C89" s="195">
        <v>15</v>
      </c>
      <c r="D89" s="195">
        <v>15</v>
      </c>
      <c r="E89" s="195">
        <v>15</v>
      </c>
      <c r="F89" s="168" t="s">
        <v>272</v>
      </c>
    </row>
    <row r="90" spans="1:11" x14ac:dyDescent="0.25">
      <c r="A90" s="170" t="s">
        <v>274</v>
      </c>
      <c r="B90" s="196">
        <f>(((1+B88)^B89)-1)/(B88*(1+B88)^B89)</f>
        <v>11.937935086776077</v>
      </c>
      <c r="C90" s="196">
        <f t="shared" ref="C90" si="25">(((1+C88)^C89)-1)/(C88*(1+C88)^C89)</f>
        <v>11.937935086776077</v>
      </c>
      <c r="D90" s="196">
        <f t="shared" ref="D90" si="26">(((1+D88)^D89)-1)/(D88*(1+D88)^D89)</f>
        <v>11.937935086776077</v>
      </c>
      <c r="E90" s="196">
        <f t="shared" ref="E90" si="27">(((1+E88)^E89)-1)/(E88*(1+E88)^E89)</f>
        <v>11.937935086776077</v>
      </c>
      <c r="F90" s="168"/>
    </row>
    <row r="91" spans="1:11" x14ac:dyDescent="0.25">
      <c r="A91" s="170" t="s">
        <v>269</v>
      </c>
      <c r="B91" s="185">
        <f t="shared" ref="B91" si="28">B87/B90</f>
        <v>4644.802868135328</v>
      </c>
      <c r="C91" s="186">
        <f t="shared" ref="C91" si="29">C87/C90</f>
        <v>3898.5538953694836</v>
      </c>
      <c r="D91" s="186">
        <f t="shared" ref="D91" si="30">D87/D90</f>
        <v>4644.802868135328</v>
      </c>
      <c r="E91" s="186">
        <f t="shared" ref="E91" si="31">E87/E90</f>
        <v>5446.7288021203076</v>
      </c>
      <c r="F91" s="168" t="s">
        <v>275</v>
      </c>
    </row>
    <row r="92" spans="1:11" x14ac:dyDescent="0.25">
      <c r="A92" s="190"/>
      <c r="B92" s="186"/>
      <c r="C92" s="186"/>
      <c r="D92" s="186"/>
      <c r="E92" s="186"/>
      <c r="F92" s="168"/>
    </row>
    <row r="93" spans="1:11" x14ac:dyDescent="0.25">
      <c r="A93" s="170" t="s">
        <v>211</v>
      </c>
      <c r="B93" s="186"/>
      <c r="C93" s="186"/>
      <c r="D93" s="186"/>
      <c r="E93" s="186"/>
      <c r="F93" s="168"/>
    </row>
    <row r="94" spans="1:11" x14ac:dyDescent="0.25">
      <c r="A94" s="183" t="s">
        <v>153</v>
      </c>
      <c r="B94" s="186">
        <f>D94</f>
        <v>175</v>
      </c>
      <c r="C94" s="186">
        <f>130</f>
        <v>130</v>
      </c>
      <c r="D94" s="186">
        <f>175</f>
        <v>175</v>
      </c>
      <c r="E94" s="186">
        <f>185</f>
        <v>185</v>
      </c>
      <c r="F94" s="168" t="s">
        <v>299</v>
      </c>
      <c r="I94" s="141"/>
      <c r="J94" s="141"/>
      <c r="K94" s="141"/>
    </row>
    <row r="95" spans="1:11" x14ac:dyDescent="0.25">
      <c r="A95" s="183" t="s">
        <v>154</v>
      </c>
      <c r="B95" s="186">
        <f>B33*(B65/12)</f>
        <v>76.95259644756193</v>
      </c>
      <c r="C95" s="186">
        <f t="shared" ref="C95:C101" si="32">B95*0.9</f>
        <v>69.257336802805739</v>
      </c>
      <c r="D95" s="186">
        <f t="shared" ref="D95:D101" si="33">B95*1</f>
        <v>76.95259644756193</v>
      </c>
      <c r="E95" s="186">
        <f t="shared" ref="E95:E101" si="34">B95*1.1</f>
        <v>84.647856092318136</v>
      </c>
      <c r="F95" s="198" t="s">
        <v>282</v>
      </c>
      <c r="I95" s="141"/>
      <c r="J95" s="141"/>
      <c r="K95" s="141"/>
    </row>
    <row r="96" spans="1:11" x14ac:dyDescent="0.25">
      <c r="A96" s="183" t="s">
        <v>155</v>
      </c>
      <c r="B96" s="186">
        <f>B34*(B65/12)</f>
        <v>96.018463627107124</v>
      </c>
      <c r="C96" s="186">
        <f t="shared" si="32"/>
        <v>86.416617264396407</v>
      </c>
      <c r="D96" s="186">
        <f t="shared" si="33"/>
        <v>96.018463627107124</v>
      </c>
      <c r="E96" s="186">
        <f t="shared" si="34"/>
        <v>105.62030998981784</v>
      </c>
      <c r="F96" s="168" t="s">
        <v>283</v>
      </c>
      <c r="I96" s="141"/>
      <c r="J96" s="141"/>
      <c r="K96" s="141"/>
    </row>
    <row r="97" spans="1:12" x14ac:dyDescent="0.25">
      <c r="A97" s="183" t="s">
        <v>161</v>
      </c>
      <c r="B97" s="186">
        <f>D97</f>
        <v>2560</v>
      </c>
      <c r="C97" s="186">
        <f>50*3*32*(1.6/12)*3</f>
        <v>1920</v>
      </c>
      <c r="D97" s="186">
        <f>50*4*32*(1.6/12)*3</f>
        <v>2560</v>
      </c>
      <c r="E97" s="186">
        <f>50*6*32*(1.6/12)*3</f>
        <v>3840</v>
      </c>
      <c r="F97" s="168" t="s">
        <v>293</v>
      </c>
      <c r="I97" s="141"/>
      <c r="J97" s="141"/>
      <c r="K97" s="141"/>
    </row>
    <row r="98" spans="1:12" x14ac:dyDescent="0.25">
      <c r="A98" s="183" t="s">
        <v>162</v>
      </c>
      <c r="B98" s="186">
        <f>B36*(B65/12)</f>
        <v>461.59306708903733</v>
      </c>
      <c r="C98" s="186">
        <f t="shared" si="32"/>
        <v>415.43376038013361</v>
      </c>
      <c r="D98" s="186">
        <f t="shared" si="33"/>
        <v>461.59306708903733</v>
      </c>
      <c r="E98" s="186">
        <f t="shared" si="34"/>
        <v>507.75237379794112</v>
      </c>
      <c r="F98" s="168" t="s">
        <v>163</v>
      </c>
      <c r="I98" s="141"/>
      <c r="J98" s="141"/>
      <c r="K98" s="141"/>
    </row>
    <row r="99" spans="1:12" x14ac:dyDescent="0.25">
      <c r="A99" s="183" t="s">
        <v>186</v>
      </c>
      <c r="B99" s="186">
        <f t="shared" ref="B99" si="35">50*3*32*($B$65/$B$3)</f>
        <v>638.0812309084738</v>
      </c>
      <c r="C99" s="186">
        <f>B99*0.9</f>
        <v>574.2731078176264</v>
      </c>
      <c r="D99" s="186">
        <f>B99</f>
        <v>638.0812309084738</v>
      </c>
      <c r="E99" s="186">
        <f>B99*1.1</f>
        <v>701.8893539993212</v>
      </c>
      <c r="F99" s="168" t="s">
        <v>296</v>
      </c>
      <c r="H99"/>
      <c r="I99"/>
      <c r="J99"/>
      <c r="K99" s="141"/>
    </row>
    <row r="100" spans="1:12" x14ac:dyDescent="0.25">
      <c r="A100" s="183" t="s">
        <v>7</v>
      </c>
      <c r="B100" s="186">
        <f>'Current - Aerobic (EnviroPure)'!$B$59</f>
        <v>2500</v>
      </c>
      <c r="C100" s="186">
        <f t="shared" si="32"/>
        <v>2250</v>
      </c>
      <c r="D100" s="186">
        <f t="shared" si="33"/>
        <v>2500</v>
      </c>
      <c r="E100" s="186">
        <f t="shared" si="34"/>
        <v>2750</v>
      </c>
      <c r="F100" s="168" t="s">
        <v>191</v>
      </c>
      <c r="H100"/>
      <c r="I100"/>
      <c r="J100"/>
      <c r="K100" s="141"/>
    </row>
    <row r="101" spans="1:12" x14ac:dyDescent="0.25">
      <c r="A101" s="200" t="s">
        <v>290</v>
      </c>
      <c r="B101" s="201">
        <f>15*B75*32</f>
        <v>321.59294037787078</v>
      </c>
      <c r="C101" s="201">
        <f t="shared" si="32"/>
        <v>289.43364634008373</v>
      </c>
      <c r="D101" s="201">
        <f t="shared" si="33"/>
        <v>321.59294037787078</v>
      </c>
      <c r="E101" s="201">
        <f t="shared" si="34"/>
        <v>353.75223441565788</v>
      </c>
      <c r="F101" s="202" t="s">
        <v>291</v>
      </c>
      <c r="H101"/>
      <c r="I101"/>
      <c r="J101"/>
      <c r="K101" s="141"/>
    </row>
    <row r="102" spans="1:12" x14ac:dyDescent="0.25">
      <c r="A102" s="205" t="s">
        <v>214</v>
      </c>
      <c r="B102" s="189">
        <f>SUM(B94:B100)</f>
        <v>6507.64535807218</v>
      </c>
      <c r="C102" s="189">
        <f>SUM(C94:C100)</f>
        <v>5445.3808222649623</v>
      </c>
      <c r="D102" s="189">
        <f>SUM(D94:D100)</f>
        <v>6507.64535807218</v>
      </c>
      <c r="E102" s="189">
        <f>SUM(E94:E100)</f>
        <v>8174.9098938793986</v>
      </c>
      <c r="F102" s="168"/>
      <c r="H102"/>
      <c r="I102"/>
      <c r="J102"/>
      <c r="K102" s="141"/>
      <c r="L102" s="141"/>
    </row>
    <row r="103" spans="1:12" x14ac:dyDescent="0.25">
      <c r="A103" s="206" t="s">
        <v>212</v>
      </c>
      <c r="B103" s="207">
        <f>B91+B102</f>
        <v>11152.448226207507</v>
      </c>
      <c r="C103" s="207">
        <f>C91+C102</f>
        <v>9343.9347176344454</v>
      </c>
      <c r="D103" s="207">
        <f>D91+D102</f>
        <v>11152.448226207507</v>
      </c>
      <c r="E103" s="207">
        <f>E91+E102</f>
        <v>13621.638695999707</v>
      </c>
      <c r="F103" s="208" t="s">
        <v>213</v>
      </c>
      <c r="H103"/>
      <c r="I103"/>
      <c r="J103"/>
      <c r="K103" s="141"/>
      <c r="L103" s="141"/>
    </row>
    <row r="104" spans="1:12" x14ac:dyDescent="0.25">
      <c r="A104" s="209"/>
      <c r="B104" s="212"/>
      <c r="C104" s="212"/>
      <c r="D104" s="212"/>
      <c r="E104" s="212"/>
      <c r="F104" s="213"/>
      <c r="H104"/>
      <c r="I104"/>
      <c r="J104"/>
      <c r="K104" s="141"/>
      <c r="L104" s="141"/>
    </row>
    <row r="105" spans="1:12" x14ac:dyDescent="0.25">
      <c r="A105" s="378" t="s">
        <v>165</v>
      </c>
      <c r="B105" s="378"/>
      <c r="C105" s="378"/>
      <c r="D105" s="378"/>
      <c r="E105" s="378"/>
      <c r="F105" s="215"/>
      <c r="H105"/>
      <c r="I105"/>
      <c r="J105"/>
      <c r="K105" s="141"/>
      <c r="L105" s="141"/>
    </row>
    <row r="106" spans="1:12" x14ac:dyDescent="0.25">
      <c r="A106" s="190" t="s">
        <v>221</v>
      </c>
      <c r="B106" s="186"/>
      <c r="C106" s="186"/>
      <c r="D106" s="186"/>
      <c r="E106" s="186"/>
      <c r="F106" s="168"/>
      <c r="H106"/>
      <c r="I106"/>
      <c r="J106"/>
      <c r="K106" s="141"/>
      <c r="L106" s="141"/>
    </row>
    <row r="107" spans="1:12" x14ac:dyDescent="0.25">
      <c r="A107" s="217" t="s">
        <v>169</v>
      </c>
      <c r="B107" s="186">
        <f>'Biogas to electricity - Input'!$D$35*(B65/B3)</f>
        <v>608.19387198377694</v>
      </c>
      <c r="C107" s="186">
        <f>B107*0.9</f>
        <v>547.37448478539932</v>
      </c>
      <c r="D107" s="186">
        <f>B107</f>
        <v>608.19387198377694</v>
      </c>
      <c r="E107" s="186">
        <f>B107*1.1</f>
        <v>669.01325918215468</v>
      </c>
      <c r="F107" s="168" t="s">
        <v>168</v>
      </c>
      <c r="H107"/>
      <c r="I107"/>
      <c r="J107"/>
      <c r="K107" s="141"/>
      <c r="L107" s="141"/>
    </row>
    <row r="108" spans="1:12" x14ac:dyDescent="0.25">
      <c r="A108" s="218" t="s">
        <v>180</v>
      </c>
      <c r="B108" s="186">
        <f>'Biogas to electricity - Input'!$F$35*(B65/B3)</f>
        <v>24.775769155610757</v>
      </c>
      <c r="C108" s="186">
        <f>B108*0.9</f>
        <v>22.29819224004968</v>
      </c>
      <c r="D108" s="186">
        <f>B108</f>
        <v>24.775769155610757</v>
      </c>
      <c r="E108" s="186">
        <f>B108*1.1</f>
        <v>27.253346071171833</v>
      </c>
      <c r="F108" s="168" t="s">
        <v>166</v>
      </c>
      <c r="I108" s="141"/>
      <c r="J108" s="141"/>
      <c r="K108" s="141"/>
      <c r="L108" s="141"/>
    </row>
    <row r="109" spans="1:12" x14ac:dyDescent="0.25">
      <c r="A109" s="217" t="s">
        <v>167</v>
      </c>
      <c r="B109" s="186">
        <f>'Biogas to electricity - Input'!$E$35*(B65/B3)</f>
        <v>115.65061555696877</v>
      </c>
      <c r="C109" s="186">
        <f>B109*0.9</f>
        <v>104.0855540012719</v>
      </c>
      <c r="D109" s="186">
        <f>B109</f>
        <v>115.65061555696877</v>
      </c>
      <c r="E109" s="186">
        <f>B109*1.1</f>
        <v>127.21567711266566</v>
      </c>
      <c r="F109" s="168" t="s">
        <v>168</v>
      </c>
      <c r="I109" s="141"/>
      <c r="J109" s="141"/>
      <c r="K109" s="141"/>
      <c r="L109" s="141"/>
    </row>
    <row r="110" spans="1:12" x14ac:dyDescent="0.25">
      <c r="A110" s="217" t="s">
        <v>170</v>
      </c>
      <c r="B110" s="186">
        <f>'Alton report, Credit Sales'!$D$31*(B65/B3)</f>
        <v>-369.71386184191243</v>
      </c>
      <c r="C110" s="186">
        <f>B110*0.9</f>
        <v>-332.74247565772117</v>
      </c>
      <c r="D110" s="186">
        <f>B110</f>
        <v>-369.71386184191243</v>
      </c>
      <c r="E110" s="186">
        <f>B110*1.1</f>
        <v>-406.68524802610369</v>
      </c>
      <c r="F110" s="168"/>
      <c r="I110" s="141"/>
      <c r="J110" s="141"/>
      <c r="K110" s="141"/>
    </row>
    <row r="111" spans="1:12" x14ac:dyDescent="0.25">
      <c r="A111" s="219" t="s">
        <v>217</v>
      </c>
      <c r="B111" s="189">
        <f>SUM(B107:B110)</f>
        <v>378.90639485444404</v>
      </c>
      <c r="C111" s="189">
        <f>SUM(C107:C110)</f>
        <v>341.01575536899981</v>
      </c>
      <c r="D111" s="189">
        <f>SUM(D107:D110)</f>
        <v>378.90639485444404</v>
      </c>
      <c r="E111" s="189">
        <f>SUM(E107:E110)</f>
        <v>416.7970343398884</v>
      </c>
      <c r="F111" s="220" t="s">
        <v>218</v>
      </c>
    </row>
    <row r="112" spans="1:12" x14ac:dyDescent="0.25">
      <c r="A112" s="167"/>
      <c r="B112" s="168"/>
      <c r="C112" s="168"/>
      <c r="D112" s="168"/>
      <c r="E112" s="168"/>
      <c r="F112" s="168"/>
      <c r="I112" s="141"/>
      <c r="J112" s="141"/>
      <c r="K112" s="141"/>
    </row>
    <row r="113" spans="1:11" x14ac:dyDescent="0.25">
      <c r="A113" s="170" t="s">
        <v>222</v>
      </c>
      <c r="B113" s="168"/>
      <c r="C113" s="168"/>
      <c r="D113" s="168"/>
      <c r="E113" s="168"/>
      <c r="F113" s="168"/>
      <c r="I113" s="141"/>
      <c r="J113" s="141"/>
      <c r="K113" s="141"/>
    </row>
    <row r="114" spans="1:11" x14ac:dyDescent="0.25">
      <c r="A114" s="170" t="s">
        <v>219</v>
      </c>
      <c r="B114" s="168"/>
      <c r="C114" s="168"/>
      <c r="D114" s="168"/>
      <c r="E114" s="168"/>
      <c r="F114" s="168"/>
      <c r="I114" s="141"/>
      <c r="J114" s="141"/>
      <c r="K114" s="141"/>
    </row>
    <row r="115" spans="1:11" x14ac:dyDescent="0.25">
      <c r="A115" s="100" t="s">
        <v>55</v>
      </c>
      <c r="B115" s="92">
        <f>'Alton report, Credit Sales'!$C$28*(1.6/12)</f>
        <v>1288.5628162867197</v>
      </c>
      <c r="C115" s="92">
        <f>'Alton report, Credit Sales'!$C$27*0.75*(1.6/12)</f>
        <v>483.21105610751994</v>
      </c>
      <c r="D115" s="92">
        <f>B115</f>
        <v>1288.5628162867197</v>
      </c>
      <c r="E115" s="92">
        <f>'Alton report, Credit Sales'!$C$27*2.75*(1.6/12)</f>
        <v>1771.7738723942396</v>
      </c>
      <c r="F115" s="79" t="s">
        <v>361</v>
      </c>
      <c r="I115" s="141"/>
      <c r="J115" s="141"/>
      <c r="K115" s="141"/>
    </row>
    <row r="116" spans="1:11" x14ac:dyDescent="0.25">
      <c r="A116" s="222" t="s">
        <v>173</v>
      </c>
      <c r="B116" s="186">
        <f>'Alton report, Credit Sales'!$E$5*(1.6/12)</f>
        <v>291.85397121023999</v>
      </c>
      <c r="C116" s="186">
        <f>'Alton report, Credit Sales'!$C$5*50*(1.6/12)</f>
        <v>145.92698560512</v>
      </c>
      <c r="D116" s="186">
        <f>B116</f>
        <v>291.85397121023999</v>
      </c>
      <c r="E116" s="186">
        <f>'Alton report, Credit Sales'!$C$5*150*(1.6/12)</f>
        <v>437.78095681536001</v>
      </c>
      <c r="F116" s="168" t="s">
        <v>174</v>
      </c>
    </row>
    <row r="117" spans="1:11" x14ac:dyDescent="0.25">
      <c r="A117" s="170" t="s">
        <v>220</v>
      </c>
      <c r="B117" s="186">
        <f>SUM(B115:B116)</f>
        <v>1580.4167874969596</v>
      </c>
      <c r="C117" s="186">
        <f>SUM(C115:C116)</f>
        <v>629.13804171263996</v>
      </c>
      <c r="D117" s="186">
        <f>SUM(D115:D116)</f>
        <v>1580.4167874969596</v>
      </c>
      <c r="E117" s="186">
        <f>SUM(E115:E116)</f>
        <v>2209.5548292095996</v>
      </c>
      <c r="F117" s="168"/>
    </row>
    <row r="118" spans="1:11" x14ac:dyDescent="0.25">
      <c r="A118" s="217" t="s">
        <v>172</v>
      </c>
      <c r="B118" s="186">
        <f>'Alton report, Credit Sales'!$C$39*(1.6/12)</f>
        <v>164.56235726797701</v>
      </c>
      <c r="C118" s="186">
        <f>D118*0.9</f>
        <v>148.10612154117931</v>
      </c>
      <c r="D118" s="186">
        <f>B118</f>
        <v>164.56235726797701</v>
      </c>
      <c r="E118" s="186">
        <f>B118*1.1</f>
        <v>181.01859299477474</v>
      </c>
      <c r="F118" s="79" t="s">
        <v>343</v>
      </c>
    </row>
    <row r="119" spans="1:11" x14ac:dyDescent="0.25">
      <c r="A119" s="221" t="s">
        <v>175</v>
      </c>
      <c r="B119" s="186">
        <f>B57*(1.6/12)</f>
        <v>-24.295390999622139</v>
      </c>
      <c r="C119" s="186">
        <f>B119*0.9</f>
        <v>-21.865851899659926</v>
      </c>
      <c r="D119" s="186">
        <f>B119</f>
        <v>-24.295390999622139</v>
      </c>
      <c r="E119" s="186">
        <f>B119*1.1</f>
        <v>-26.724930099584356</v>
      </c>
      <c r="F119" s="168" t="s">
        <v>227</v>
      </c>
    </row>
    <row r="120" spans="1:11" x14ac:dyDescent="0.25">
      <c r="A120" s="109" t="s">
        <v>324</v>
      </c>
      <c r="B120" s="92">
        <f>B58*B65/B3</f>
        <v>-550.69405959015432</v>
      </c>
      <c r="C120" s="92">
        <f>B120*0.9</f>
        <v>-495.62465363113893</v>
      </c>
      <c r="D120" s="92">
        <f>B120</f>
        <v>-550.69405959015432</v>
      </c>
      <c r="E120" s="92">
        <f>B120*1.1</f>
        <v>-605.76346554916984</v>
      </c>
      <c r="F120" s="79" t="s">
        <v>332</v>
      </c>
    </row>
    <row r="121" spans="1:11" x14ac:dyDescent="0.25">
      <c r="A121" s="109" t="s">
        <v>331</v>
      </c>
      <c r="B121" s="92">
        <f>(B115+B116)*20%*(-1)</f>
        <v>-316.08335749939192</v>
      </c>
      <c r="C121" s="92">
        <f>(C115+C116)*20%*(-1)</f>
        <v>-125.82760834252799</v>
      </c>
      <c r="D121" s="92">
        <f>(D115+D116)*20%*(-1)</f>
        <v>-316.08335749939192</v>
      </c>
      <c r="E121" s="92">
        <f>(E115+E116)*20%*(-1)</f>
        <v>-441.91096584191996</v>
      </c>
      <c r="F121" s="154" t="s">
        <v>252</v>
      </c>
    </row>
    <row r="122" spans="1:11" x14ac:dyDescent="0.25">
      <c r="A122" s="188" t="s">
        <v>226</v>
      </c>
      <c r="B122" s="189">
        <f>SUM(B117:B121)</f>
        <v>853.90633667576799</v>
      </c>
      <c r="C122" s="189">
        <f>SUM(C117:C121)</f>
        <v>133.92604938049243</v>
      </c>
      <c r="D122" s="189">
        <f>SUM(D117:D121)</f>
        <v>853.90633667576799</v>
      </c>
      <c r="E122" s="189">
        <f>SUM(E117:E121)</f>
        <v>1316.1740607137001</v>
      </c>
      <c r="F122" s="220" t="s">
        <v>225</v>
      </c>
    </row>
    <row r="123" spans="1:11" x14ac:dyDescent="0.25">
      <c r="A123" s="170"/>
      <c r="B123" s="186"/>
      <c r="C123" s="186"/>
      <c r="D123" s="186"/>
      <c r="E123" s="186"/>
      <c r="F123" s="168"/>
    </row>
    <row r="124" spans="1:11" x14ac:dyDescent="0.25">
      <c r="A124" s="170" t="s">
        <v>179</v>
      </c>
      <c r="B124" s="186">
        <v>0</v>
      </c>
      <c r="C124" s="186">
        <v>0</v>
      </c>
      <c r="D124" s="186">
        <v>0</v>
      </c>
      <c r="E124" s="186">
        <v>0</v>
      </c>
      <c r="F124" s="168"/>
    </row>
    <row r="127" spans="1:11" x14ac:dyDescent="0.25">
      <c r="A127" s="373"/>
      <c r="B127" s="373"/>
      <c r="C127" s="373"/>
      <c r="D127" s="373"/>
    </row>
    <row r="128" spans="1:11" x14ac:dyDescent="0.25">
      <c r="A128" s="308"/>
      <c r="B128" s="308"/>
      <c r="C128" s="308"/>
      <c r="D128" s="308"/>
    </row>
    <row r="129" spans="1:4" x14ac:dyDescent="0.25">
      <c r="A129" s="309"/>
      <c r="B129" s="310"/>
      <c r="C129" s="310"/>
      <c r="D129" s="310"/>
    </row>
    <row r="130" spans="1:4" x14ac:dyDescent="0.25">
      <c r="A130" s="309"/>
      <c r="B130" s="310"/>
      <c r="C130" s="310"/>
      <c r="D130" s="310"/>
    </row>
    <row r="131" spans="1:4" x14ac:dyDescent="0.25">
      <c r="A131" s="309"/>
      <c r="B131" s="310"/>
      <c r="C131" s="310"/>
      <c r="D131" s="310"/>
    </row>
    <row r="132" spans="1:4" x14ac:dyDescent="0.25">
      <c r="A132" s="309"/>
      <c r="B132" s="310"/>
      <c r="C132" s="310"/>
      <c r="D132" s="310"/>
    </row>
    <row r="133" spans="1:4" x14ac:dyDescent="0.25">
      <c r="A133" s="309"/>
      <c r="B133" s="310"/>
      <c r="C133" s="310"/>
      <c r="D133" s="310"/>
    </row>
    <row r="134" spans="1:4" x14ac:dyDescent="0.25">
      <c r="A134" s="309"/>
      <c r="B134" s="310"/>
      <c r="C134" s="310"/>
      <c r="D134" s="310"/>
    </row>
    <row r="135" spans="1:4" x14ac:dyDescent="0.25">
      <c r="A135" s="309"/>
      <c r="B135" s="311"/>
      <c r="C135" s="311"/>
      <c r="D135" s="311"/>
    </row>
  </sheetData>
  <mergeCells count="13">
    <mergeCell ref="I1:J1"/>
    <mergeCell ref="I17:M17"/>
    <mergeCell ref="K18:M18"/>
    <mergeCell ref="I43:M43"/>
    <mergeCell ref="A1:B1"/>
    <mergeCell ref="A127:D127"/>
    <mergeCell ref="A63:B63"/>
    <mergeCell ref="A43:E43"/>
    <mergeCell ref="A105:E105"/>
    <mergeCell ref="A17:E17"/>
    <mergeCell ref="C18:E18"/>
    <mergeCell ref="A79:E79"/>
    <mergeCell ref="C80:E80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116"/>
  <sheetViews>
    <sheetView workbookViewId="0">
      <selection activeCell="E31" sqref="E31"/>
    </sheetView>
  </sheetViews>
  <sheetFormatPr defaultRowHeight="15" x14ac:dyDescent="0.25"/>
  <cols>
    <col min="1" max="1" width="37.28515625" bestFit="1" customWidth="1"/>
    <col min="2" max="2" width="14.85546875" bestFit="1" customWidth="1"/>
    <col min="3" max="3" width="19" bestFit="1" customWidth="1"/>
    <col min="4" max="4" width="14.28515625" bestFit="1" customWidth="1"/>
    <col min="5" max="5" width="13.140625" bestFit="1" customWidth="1"/>
    <col min="6" max="6" width="70" style="156" customWidth="1"/>
    <col min="8" max="8" width="12.5703125" bestFit="1" customWidth="1"/>
    <col min="9" max="9" width="35.140625" bestFit="1" customWidth="1"/>
    <col min="10" max="10" width="14.85546875" bestFit="1" customWidth="1"/>
    <col min="11" max="11" width="19" bestFit="1" customWidth="1"/>
    <col min="12" max="12" width="11.5703125" bestFit="1" customWidth="1"/>
    <col min="13" max="13" width="12.5703125" bestFit="1" customWidth="1"/>
    <col min="14" max="14" width="80" style="156" customWidth="1"/>
  </cols>
  <sheetData>
    <row r="1" spans="1:14" x14ac:dyDescent="0.25">
      <c r="A1" s="336" t="s">
        <v>208</v>
      </c>
      <c r="B1" s="336"/>
      <c r="C1" s="57" t="s">
        <v>286</v>
      </c>
      <c r="I1" s="336" t="s">
        <v>267</v>
      </c>
      <c r="J1" s="336"/>
      <c r="K1" s="57" t="s">
        <v>286</v>
      </c>
    </row>
    <row r="2" spans="1:14" x14ac:dyDescent="0.25">
      <c r="A2" s="102" t="s">
        <v>193</v>
      </c>
      <c r="B2" s="79">
        <v>24000</v>
      </c>
      <c r="C2" s="79">
        <v>24000</v>
      </c>
      <c r="I2" s="102" t="s">
        <v>193</v>
      </c>
      <c r="J2" s="145">
        <v>10526.982690349587</v>
      </c>
      <c r="K2" s="145">
        <v>10526.982690349587</v>
      </c>
    </row>
    <row r="3" spans="1:14" x14ac:dyDescent="0.25">
      <c r="A3" s="101" t="s">
        <v>194</v>
      </c>
      <c r="B3" s="80">
        <f>B2/2000</f>
        <v>12</v>
      </c>
      <c r="C3" s="80">
        <f>C2/2000</f>
        <v>12</v>
      </c>
      <c r="I3" s="101" t="s">
        <v>194</v>
      </c>
      <c r="J3" s="144">
        <f>J2/2000</f>
        <v>5.2634913451747938</v>
      </c>
      <c r="K3" s="90">
        <f>K2/2000</f>
        <v>5.2634913451747938</v>
      </c>
    </row>
    <row r="4" spans="1:14" x14ac:dyDescent="0.25">
      <c r="A4" s="103" t="s">
        <v>202</v>
      </c>
      <c r="B4" s="75">
        <v>0.15</v>
      </c>
      <c r="C4" s="75">
        <v>0.15</v>
      </c>
      <c r="I4" s="103" t="s">
        <v>202</v>
      </c>
      <c r="J4" s="146">
        <v>0.15</v>
      </c>
      <c r="K4" s="77">
        <v>0.15</v>
      </c>
    </row>
    <row r="5" spans="1:14" x14ac:dyDescent="0.25">
      <c r="A5" s="103" t="s">
        <v>203</v>
      </c>
      <c r="B5" s="75">
        <v>0.85</v>
      </c>
      <c r="C5" s="75">
        <v>0.85</v>
      </c>
      <c r="I5" s="103" t="s">
        <v>203</v>
      </c>
      <c r="J5" s="146">
        <v>0.85</v>
      </c>
      <c r="K5" s="77">
        <v>0.85</v>
      </c>
    </row>
    <row r="6" spans="1:14" x14ac:dyDescent="0.25">
      <c r="A6" s="102" t="s">
        <v>284</v>
      </c>
      <c r="B6" s="79">
        <f>B3*250</f>
        <v>3000</v>
      </c>
      <c r="C6" s="79">
        <f>C3*250</f>
        <v>3000</v>
      </c>
      <c r="I6" s="102" t="s">
        <v>204</v>
      </c>
      <c r="J6" s="145">
        <f>J4*J3</f>
        <v>0.789523701776219</v>
      </c>
      <c r="K6" s="88">
        <f>K3*250</f>
        <v>1315.8728362936984</v>
      </c>
    </row>
    <row r="7" spans="1:14" x14ac:dyDescent="0.25">
      <c r="A7" s="102" t="s">
        <v>195</v>
      </c>
      <c r="B7" s="79">
        <f>'Food waste'!H18*(2/5)</f>
        <v>3600</v>
      </c>
      <c r="C7" s="79">
        <f>'Food waste'!H18*(3/5)</f>
        <v>5400</v>
      </c>
      <c r="I7" s="102" t="s">
        <v>195</v>
      </c>
      <c r="J7" s="145">
        <f>'Food waste'!H15*(2/5)</f>
        <v>1579.0474035524383</v>
      </c>
      <c r="K7" s="145">
        <f>'Food waste'!H15*(3/5)</f>
        <v>2368.5711053286573</v>
      </c>
    </row>
    <row r="8" spans="1:14" x14ac:dyDescent="0.25">
      <c r="A8" s="102" t="s">
        <v>196</v>
      </c>
      <c r="B8" s="79">
        <f>B7/250</f>
        <v>14.4</v>
      </c>
      <c r="C8" s="79">
        <f>C7/250</f>
        <v>21.6</v>
      </c>
      <c r="I8" s="102" t="s">
        <v>196</v>
      </c>
      <c r="J8" s="145">
        <f>J7/250</f>
        <v>6.3161896142097529</v>
      </c>
      <c r="K8" s="88">
        <f>K7/250</f>
        <v>9.4742844213146284</v>
      </c>
    </row>
    <row r="9" spans="1:14" x14ac:dyDescent="0.25">
      <c r="A9" s="102"/>
      <c r="B9" s="79"/>
      <c r="C9" s="64"/>
      <c r="I9" s="102"/>
      <c r="J9" s="145"/>
      <c r="K9" s="160"/>
    </row>
    <row r="10" spans="1:14" x14ac:dyDescent="0.25">
      <c r="A10" s="102" t="s">
        <v>262</v>
      </c>
      <c r="B10" s="79">
        <f>B8+B3</f>
        <v>26.4</v>
      </c>
      <c r="C10" s="79">
        <f>C8+C3</f>
        <v>33.6</v>
      </c>
      <c r="I10" s="102" t="s">
        <v>262</v>
      </c>
      <c r="J10" s="145">
        <f>J8+J3</f>
        <v>11.579680959384547</v>
      </c>
      <c r="K10" s="88">
        <f>K8+K3</f>
        <v>14.737775766489422</v>
      </c>
    </row>
    <row r="11" spans="1:14" x14ac:dyDescent="0.25">
      <c r="A11" s="102" t="s">
        <v>265</v>
      </c>
      <c r="B11" s="79">
        <f>B10*250</f>
        <v>6600</v>
      </c>
      <c r="C11" s="79">
        <f>C10*250</f>
        <v>8400</v>
      </c>
      <c r="I11" s="102" t="s">
        <v>265</v>
      </c>
      <c r="J11" s="145">
        <f>J10*250</f>
        <v>2894.9202398461366</v>
      </c>
      <c r="K11" s="88">
        <f>K10*250</f>
        <v>3684.4439416223554</v>
      </c>
    </row>
    <row r="12" spans="1:14" x14ac:dyDescent="0.25">
      <c r="A12" s="103" t="s">
        <v>261</v>
      </c>
      <c r="B12" s="270">
        <f>((B3*15%)+(B8*0%))/B10</f>
        <v>6.8181818181818177E-2</v>
      </c>
      <c r="C12" s="270">
        <f>((C3*15%)+(C8*0%))/C10</f>
        <v>5.3571428571428562E-2</v>
      </c>
      <c r="I12" s="103" t="s">
        <v>261</v>
      </c>
      <c r="J12" s="146">
        <f>((J3*15%)+(J8*0%))/J10</f>
        <v>6.8181818181818177E-2</v>
      </c>
      <c r="K12" s="64"/>
    </row>
    <row r="13" spans="1:14" x14ac:dyDescent="0.25">
      <c r="A13" s="158"/>
      <c r="B13" s="159"/>
    </row>
    <row r="15" spans="1:14" x14ac:dyDescent="0.25">
      <c r="A15" s="336" t="s">
        <v>258</v>
      </c>
      <c r="B15" s="336"/>
      <c r="C15" s="336"/>
      <c r="D15" s="336"/>
      <c r="E15" s="336"/>
      <c r="F15" s="154"/>
      <c r="I15" s="336" t="s">
        <v>287</v>
      </c>
      <c r="J15" s="336"/>
      <c r="K15" s="336"/>
      <c r="L15" s="336"/>
      <c r="M15" s="336"/>
      <c r="N15" s="154"/>
    </row>
    <row r="16" spans="1:14" x14ac:dyDescent="0.25">
      <c r="A16" s="101"/>
      <c r="B16" s="91" t="s">
        <v>144</v>
      </c>
      <c r="C16" s="337" t="s">
        <v>145</v>
      </c>
      <c r="D16" s="337"/>
      <c r="E16" s="337"/>
      <c r="F16" s="154"/>
      <c r="I16" s="101"/>
      <c r="J16" s="91" t="s">
        <v>144</v>
      </c>
      <c r="K16" s="337" t="s">
        <v>145</v>
      </c>
      <c r="L16" s="337"/>
      <c r="M16" s="337"/>
      <c r="N16" s="154"/>
    </row>
    <row r="17" spans="1:14" x14ac:dyDescent="0.25">
      <c r="A17" s="101"/>
      <c r="B17" s="92"/>
      <c r="C17" s="91" t="s">
        <v>146</v>
      </c>
      <c r="D17" s="91" t="s">
        <v>147</v>
      </c>
      <c r="E17" s="91" t="s">
        <v>148</v>
      </c>
      <c r="F17" s="154"/>
      <c r="I17" s="101"/>
      <c r="J17" s="92"/>
      <c r="K17" s="91" t="s">
        <v>146</v>
      </c>
      <c r="L17" s="91" t="s">
        <v>147</v>
      </c>
      <c r="M17" s="91" t="s">
        <v>148</v>
      </c>
      <c r="N17" s="154"/>
    </row>
    <row r="18" spans="1:14" x14ac:dyDescent="0.25">
      <c r="A18" s="101" t="s">
        <v>158</v>
      </c>
      <c r="B18" s="92">
        <f>59950*6</f>
        <v>359700</v>
      </c>
      <c r="C18" s="92">
        <v>0</v>
      </c>
      <c r="D18" s="92">
        <v>0</v>
      </c>
      <c r="E18" s="92">
        <v>0</v>
      </c>
      <c r="F18" s="154" t="s">
        <v>259</v>
      </c>
      <c r="I18" s="101" t="s">
        <v>87</v>
      </c>
      <c r="J18" s="92">
        <v>59950</v>
      </c>
      <c r="K18" s="92">
        <v>0</v>
      </c>
      <c r="L18" s="92">
        <v>0</v>
      </c>
      <c r="M18" s="92">
        <v>0</v>
      </c>
      <c r="N18" s="154" t="s">
        <v>266</v>
      </c>
    </row>
    <row r="19" spans="1:14" ht="30" x14ac:dyDescent="0.25">
      <c r="A19" s="101" t="s">
        <v>159</v>
      </c>
      <c r="B19" s="92">
        <v>0</v>
      </c>
      <c r="C19" s="92">
        <f>0</f>
        <v>0</v>
      </c>
      <c r="D19" s="92">
        <f>0</f>
        <v>0</v>
      </c>
      <c r="E19" s="92">
        <f>0</f>
        <v>0</v>
      </c>
      <c r="F19" s="154" t="s">
        <v>278</v>
      </c>
      <c r="I19" s="101" t="s">
        <v>177</v>
      </c>
      <c r="J19" s="92">
        <v>0</v>
      </c>
      <c r="K19" s="92">
        <v>0</v>
      </c>
      <c r="L19" s="92">
        <v>0</v>
      </c>
      <c r="M19" s="92">
        <v>0</v>
      </c>
      <c r="N19" s="154" t="s">
        <v>278</v>
      </c>
    </row>
    <row r="20" spans="1:14" x14ac:dyDescent="0.25">
      <c r="A20" s="105" t="s">
        <v>103</v>
      </c>
      <c r="B20" s="92">
        <f>SUM(B18:B19)</f>
        <v>359700</v>
      </c>
      <c r="C20" s="92">
        <f>SUM(C18:C19)</f>
        <v>0</v>
      </c>
      <c r="D20" s="92">
        <f>SUM(D18:D19)</f>
        <v>0</v>
      </c>
      <c r="E20" s="92">
        <f>SUM(E18:E19)</f>
        <v>0</v>
      </c>
      <c r="F20" s="154"/>
      <c r="I20" s="105" t="s">
        <v>103</v>
      </c>
      <c r="J20" s="92">
        <f>SUM(J18:J19)</f>
        <v>59950</v>
      </c>
      <c r="K20" s="92">
        <f>SUM(K18:K19)</f>
        <v>0</v>
      </c>
      <c r="L20" s="92">
        <f>SUM(L18:L19)</f>
        <v>0</v>
      </c>
      <c r="M20" s="92">
        <f>SUM(M18:M19)</f>
        <v>0</v>
      </c>
      <c r="N20" s="154"/>
    </row>
    <row r="21" spans="1:14" x14ac:dyDescent="0.25">
      <c r="A21" s="101"/>
      <c r="B21" s="92"/>
      <c r="C21" s="94" t="s">
        <v>151</v>
      </c>
      <c r="D21" s="94"/>
      <c r="E21" s="94"/>
      <c r="F21" s="154"/>
      <c r="I21" s="101"/>
      <c r="J21" s="92"/>
      <c r="K21" s="94" t="s">
        <v>151</v>
      </c>
      <c r="L21" s="94"/>
      <c r="M21" s="94"/>
      <c r="N21" s="154"/>
    </row>
    <row r="22" spans="1:14" ht="30" x14ac:dyDescent="0.25">
      <c r="A22" s="98" t="s">
        <v>103</v>
      </c>
      <c r="B22" s="71">
        <f>D22</f>
        <v>395670.00000000006</v>
      </c>
      <c r="C22" s="92">
        <f>B20</f>
        <v>359700</v>
      </c>
      <c r="D22" s="92">
        <f>B20*1.1</f>
        <v>395670.00000000006</v>
      </c>
      <c r="E22" s="92">
        <f>B20*1.2</f>
        <v>431640</v>
      </c>
      <c r="F22" s="154" t="s">
        <v>260</v>
      </c>
      <c r="I22" s="98" t="s">
        <v>103</v>
      </c>
      <c r="J22" s="71">
        <f>L22</f>
        <v>65945</v>
      </c>
      <c r="K22" s="92">
        <f>J20</f>
        <v>59950</v>
      </c>
      <c r="L22" s="92">
        <f>J20*1.1</f>
        <v>65945</v>
      </c>
      <c r="M22" s="92">
        <f>J20*1.2</f>
        <v>71940</v>
      </c>
      <c r="N22" s="154" t="s">
        <v>260</v>
      </c>
    </row>
    <row r="23" spans="1:14" x14ac:dyDescent="0.25">
      <c r="A23" s="101" t="s">
        <v>270</v>
      </c>
      <c r="B23" s="147">
        <v>0.03</v>
      </c>
      <c r="C23" s="148">
        <v>0.03</v>
      </c>
      <c r="D23" s="148">
        <v>0.03</v>
      </c>
      <c r="E23" s="148">
        <v>0.03</v>
      </c>
      <c r="F23" s="154" t="s">
        <v>271</v>
      </c>
      <c r="I23" s="101" t="s">
        <v>270</v>
      </c>
      <c r="J23" s="147">
        <v>0.03</v>
      </c>
      <c r="K23" s="148">
        <v>0.03</v>
      </c>
      <c r="L23" s="148">
        <v>0.03</v>
      </c>
      <c r="M23" s="148">
        <v>0.03</v>
      </c>
      <c r="N23" s="154" t="s">
        <v>271</v>
      </c>
    </row>
    <row r="24" spans="1:14" x14ac:dyDescent="0.25">
      <c r="A24" s="101" t="s">
        <v>273</v>
      </c>
      <c r="B24" s="149">
        <v>15</v>
      </c>
      <c r="C24" s="150">
        <v>15</v>
      </c>
      <c r="D24" s="150">
        <v>15</v>
      </c>
      <c r="E24" s="150">
        <v>15</v>
      </c>
      <c r="F24" s="154" t="s">
        <v>272</v>
      </c>
      <c r="I24" s="101"/>
      <c r="J24" s="149">
        <v>15</v>
      </c>
      <c r="K24" s="150">
        <v>15</v>
      </c>
      <c r="L24" s="150">
        <v>15</v>
      </c>
      <c r="M24" s="150">
        <v>15</v>
      </c>
      <c r="N24" s="154" t="s">
        <v>272</v>
      </c>
    </row>
    <row r="25" spans="1:14" x14ac:dyDescent="0.25">
      <c r="A25" s="101" t="s">
        <v>274</v>
      </c>
      <c r="B25" s="160">
        <f>(((1+B23)^B24)-1)/(B23*(1+B23)^B24)</f>
        <v>11.937935086776077</v>
      </c>
      <c r="C25" s="160">
        <f t="shared" ref="C25:E25" si="0">(((1+C23)^C24)-1)/(C23*(1+C23)^C24)</f>
        <v>11.937935086776077</v>
      </c>
      <c r="D25" s="160">
        <f t="shared" si="0"/>
        <v>11.937935086776077</v>
      </c>
      <c r="E25" s="160">
        <f t="shared" si="0"/>
        <v>11.937935086776077</v>
      </c>
      <c r="F25" s="154"/>
      <c r="I25" s="101" t="s">
        <v>274</v>
      </c>
      <c r="J25" s="160">
        <f>(((1+J23)^J24)-1)/(J23*(1+J23)^J24)</f>
        <v>11.937935086776077</v>
      </c>
      <c r="K25" s="160">
        <f t="shared" ref="K25" si="1">(((1+K23)^K24)-1)/(K23*(1+K23)^K24)</f>
        <v>11.937935086776077</v>
      </c>
      <c r="L25" s="160">
        <f t="shared" ref="L25" si="2">(((1+L23)^L24)-1)/(L23*(1+L23)^L24)</f>
        <v>11.937935086776077</v>
      </c>
      <c r="M25" s="160">
        <f t="shared" ref="M25" si="3">(((1+M23)^M24)-1)/(M23*(1+M23)^M24)</f>
        <v>11.937935086776077</v>
      </c>
      <c r="N25" s="154"/>
    </row>
    <row r="26" spans="1:14" ht="30" x14ac:dyDescent="0.25">
      <c r="A26" s="101" t="s">
        <v>269</v>
      </c>
      <c r="B26" s="91">
        <f t="shared" ref="B26:E26" si="4">B22/B25</f>
        <v>33143.922891513517</v>
      </c>
      <c r="C26" s="92">
        <f t="shared" si="4"/>
        <v>30130.838992285011</v>
      </c>
      <c r="D26" s="92">
        <f t="shared" si="4"/>
        <v>33143.922891513517</v>
      </c>
      <c r="E26" s="92">
        <f t="shared" si="4"/>
        <v>36157.006790742016</v>
      </c>
      <c r="F26" s="154" t="s">
        <v>275</v>
      </c>
      <c r="I26" s="101" t="s">
        <v>269</v>
      </c>
      <c r="J26" s="91">
        <f t="shared" ref="J26" si="5">J22/J25</f>
        <v>5523.9871485855856</v>
      </c>
      <c r="K26" s="92">
        <f t="shared" ref="K26" si="6">K22/K25</f>
        <v>5021.8064987141688</v>
      </c>
      <c r="L26" s="92">
        <f t="shared" ref="L26" si="7">L22/L25</f>
        <v>5523.9871485855856</v>
      </c>
      <c r="M26" s="92">
        <f t="shared" ref="M26" si="8">M22/M25</f>
        <v>6026.1677984570024</v>
      </c>
      <c r="N26" s="154" t="s">
        <v>275</v>
      </c>
    </row>
    <row r="27" spans="1:14" x14ac:dyDescent="0.25">
      <c r="A27" s="101"/>
      <c r="B27" s="92"/>
      <c r="C27" s="92"/>
      <c r="D27" s="92"/>
      <c r="E27" s="92"/>
      <c r="F27" s="154"/>
      <c r="I27" s="98"/>
      <c r="J27" s="92"/>
      <c r="K27" s="92"/>
      <c r="L27" s="92"/>
      <c r="M27" s="92"/>
      <c r="N27" s="154"/>
    </row>
    <row r="28" spans="1:14" x14ac:dyDescent="0.25">
      <c r="A28" s="101" t="s">
        <v>211</v>
      </c>
      <c r="B28" s="92"/>
      <c r="C28" s="92"/>
      <c r="D28" s="92"/>
      <c r="E28" s="92"/>
      <c r="F28" s="154"/>
      <c r="I28" s="101" t="s">
        <v>211</v>
      </c>
      <c r="J28" s="92"/>
      <c r="K28" s="92"/>
      <c r="L28" s="92"/>
      <c r="M28" s="92"/>
      <c r="N28" s="154"/>
    </row>
    <row r="29" spans="1:14" ht="30" x14ac:dyDescent="0.25">
      <c r="A29" s="104" t="s">
        <v>153</v>
      </c>
      <c r="B29" s="92">
        <f>B87*6</f>
        <v>600</v>
      </c>
      <c r="C29" s="92">
        <f t="shared" ref="C29:C34" si="9">B29*0.9</f>
        <v>540</v>
      </c>
      <c r="D29" s="92">
        <f t="shared" ref="D29:D34" si="10">B29*1</f>
        <v>600</v>
      </c>
      <c r="E29" s="92">
        <f t="shared" ref="E29:E34" si="11">B29*1.1</f>
        <v>660</v>
      </c>
      <c r="F29" s="154" t="s">
        <v>182</v>
      </c>
      <c r="I29" s="104" t="s">
        <v>153</v>
      </c>
      <c r="J29" s="92">
        <v>100</v>
      </c>
      <c r="K29" s="92">
        <f t="shared" ref="K29" si="12">J29*0.9</f>
        <v>90</v>
      </c>
      <c r="L29" s="92">
        <f t="shared" ref="L29" si="13">J29*1</f>
        <v>100</v>
      </c>
      <c r="M29" s="92">
        <f t="shared" ref="M29" si="14">J29*1.1</f>
        <v>110.00000000000001</v>
      </c>
      <c r="N29" s="154" t="s">
        <v>182</v>
      </c>
    </row>
    <row r="30" spans="1:14" x14ac:dyDescent="0.25">
      <c r="A30" s="104" t="s">
        <v>154</v>
      </c>
      <c r="B30" s="92">
        <v>0</v>
      </c>
      <c r="C30" s="92">
        <f t="shared" si="9"/>
        <v>0</v>
      </c>
      <c r="D30" s="92">
        <f t="shared" si="10"/>
        <v>0</v>
      </c>
      <c r="E30" s="92">
        <f t="shared" si="11"/>
        <v>0</v>
      </c>
      <c r="F30" s="95" t="s">
        <v>263</v>
      </c>
      <c r="I30" s="104" t="s">
        <v>154</v>
      </c>
      <c r="J30" s="92">
        <v>0</v>
      </c>
      <c r="K30" s="92">
        <v>0</v>
      </c>
      <c r="L30" s="92">
        <v>0</v>
      </c>
      <c r="M30" s="92">
        <v>0</v>
      </c>
      <c r="N30" s="95" t="s">
        <v>263</v>
      </c>
    </row>
    <row r="31" spans="1:14" x14ac:dyDescent="0.25">
      <c r="A31" s="104" t="s">
        <v>155</v>
      </c>
      <c r="B31" s="92">
        <f>B7*32*4.18/1000</f>
        <v>481.53599999999994</v>
      </c>
      <c r="C31" s="92">
        <f>'Food waste'!H18*(1/5)*32*4.18/1000</f>
        <v>240.76799999999997</v>
      </c>
      <c r="D31" s="92">
        <f>B31</f>
        <v>481.53599999999994</v>
      </c>
      <c r="E31" s="92">
        <f>'Food waste'!H18*(3/5)*32*4.18/1000</f>
        <v>722.30399999999997</v>
      </c>
      <c r="F31" s="154" t="s">
        <v>264</v>
      </c>
      <c r="I31" s="104" t="s">
        <v>155</v>
      </c>
      <c r="J31" s="92">
        <f>J7*4.18*32/1000</f>
        <v>211.21338069917414</v>
      </c>
      <c r="K31" s="92">
        <f>J7*(1/2)*4.18*32/1000</f>
        <v>105.60669034958707</v>
      </c>
      <c r="L31" s="92">
        <f>J31</f>
        <v>211.21338069917414</v>
      </c>
      <c r="M31" s="92">
        <f>J7*(3/2)*4.18*32/1000</f>
        <v>316.82007104876118</v>
      </c>
      <c r="N31" s="154" t="s">
        <v>264</v>
      </c>
    </row>
    <row r="32" spans="1:14" ht="30" x14ac:dyDescent="0.25">
      <c r="A32" s="104" t="s">
        <v>161</v>
      </c>
      <c r="B32" s="92">
        <f>C11*30*32/1000</f>
        <v>8064</v>
      </c>
      <c r="C32" s="92">
        <f>C11*20*32/1000</f>
        <v>5376</v>
      </c>
      <c r="D32" s="92">
        <f>B32</f>
        <v>8064</v>
      </c>
      <c r="E32" s="92">
        <f>C11*40*32/1000</f>
        <v>10752</v>
      </c>
      <c r="F32" s="154" t="s">
        <v>285</v>
      </c>
      <c r="I32" s="104" t="s">
        <v>161</v>
      </c>
      <c r="J32" s="92">
        <f>K11*30*32/1000</f>
        <v>3537.0661839574614</v>
      </c>
      <c r="K32" s="92">
        <f>K11*20*32/1000</f>
        <v>2358.0441226383077</v>
      </c>
      <c r="L32" s="92">
        <f>J32</f>
        <v>3537.0661839574614</v>
      </c>
      <c r="M32" s="92">
        <f>K11*40*32/1000</f>
        <v>4716.0882452766155</v>
      </c>
      <c r="N32" s="154" t="s">
        <v>285</v>
      </c>
    </row>
    <row r="33" spans="1:14" x14ac:dyDescent="0.25">
      <c r="A33" s="104" t="s">
        <v>162</v>
      </c>
      <c r="B33" s="92">
        <f>D33</f>
        <v>24192</v>
      </c>
      <c r="C33" s="92">
        <f>0.04*C11*32</f>
        <v>10752</v>
      </c>
      <c r="D33" s="92">
        <f>0.09*C11*32</f>
        <v>24192</v>
      </c>
      <c r="E33" s="92">
        <f>0.11*C11*32</f>
        <v>29568</v>
      </c>
      <c r="F33" s="154" t="s">
        <v>348</v>
      </c>
      <c r="I33" s="104" t="s">
        <v>162</v>
      </c>
      <c r="J33" s="92">
        <f>L33</f>
        <v>10611.198551872383</v>
      </c>
      <c r="K33" s="92">
        <f>0.04*K11*32</f>
        <v>4716.0882452766155</v>
      </c>
      <c r="L33" s="92">
        <f>0.09*K11*32</f>
        <v>10611.198551872383</v>
      </c>
      <c r="M33" s="92">
        <f>0.11*K11*32</f>
        <v>12969.242674510691</v>
      </c>
      <c r="N33" s="154" t="s">
        <v>348</v>
      </c>
    </row>
    <row r="34" spans="1:14" ht="30" x14ac:dyDescent="0.25">
      <c r="A34" s="104" t="s">
        <v>164</v>
      </c>
      <c r="B34" s="112">
        <f>'Current - Aerobic (EnviroPure)'!$B$32</f>
        <v>15000</v>
      </c>
      <c r="C34" s="92">
        <f t="shared" si="9"/>
        <v>13500</v>
      </c>
      <c r="D34" s="92">
        <f t="shared" si="10"/>
        <v>15000</v>
      </c>
      <c r="E34" s="92">
        <f t="shared" si="11"/>
        <v>16500</v>
      </c>
      <c r="F34" s="154" t="s">
        <v>191</v>
      </c>
      <c r="I34" s="104" t="s">
        <v>7</v>
      </c>
      <c r="J34" s="92">
        <f>'Current - Aerobic (EnviroPure)'!$B$59</f>
        <v>2500</v>
      </c>
      <c r="K34" s="92">
        <f t="shared" ref="K34" si="15">J34*0.9</f>
        <v>2250</v>
      </c>
      <c r="L34" s="92">
        <f t="shared" ref="L34" si="16">J34*1</f>
        <v>2500</v>
      </c>
      <c r="M34" s="92">
        <f t="shared" ref="M34" si="17">J34*1.1</f>
        <v>2750</v>
      </c>
      <c r="N34" s="154" t="s">
        <v>191</v>
      </c>
    </row>
    <row r="35" spans="1:14" x14ac:dyDescent="0.25">
      <c r="A35" s="104" t="s">
        <v>289</v>
      </c>
      <c r="B35" s="112">
        <f>6*129*12</f>
        <v>9288</v>
      </c>
      <c r="C35" s="112">
        <f t="shared" ref="C35:E35" si="18">6*129*12</f>
        <v>9288</v>
      </c>
      <c r="D35" s="112">
        <f t="shared" si="18"/>
        <v>9288</v>
      </c>
      <c r="E35" s="112">
        <f t="shared" si="18"/>
        <v>9288</v>
      </c>
      <c r="F35" s="154" t="s">
        <v>326</v>
      </c>
      <c r="I35" s="104" t="s">
        <v>289</v>
      </c>
      <c r="J35" s="112">
        <f>129*12</f>
        <v>1548</v>
      </c>
      <c r="K35" s="112">
        <f t="shared" ref="K35:M35" si="19">129*12</f>
        <v>1548</v>
      </c>
      <c r="L35" s="112">
        <f t="shared" si="19"/>
        <v>1548</v>
      </c>
      <c r="M35" s="112">
        <f t="shared" si="19"/>
        <v>1548</v>
      </c>
      <c r="N35" s="154" t="s">
        <v>327</v>
      </c>
    </row>
    <row r="36" spans="1:14" x14ac:dyDescent="0.25">
      <c r="A36" s="106" t="s">
        <v>214</v>
      </c>
      <c r="B36" s="94">
        <f t="shared" ref="B36:E36" si="20">SUM(B29:B34)</f>
        <v>48337.536</v>
      </c>
      <c r="C36" s="94">
        <f t="shared" si="20"/>
        <v>30408.768</v>
      </c>
      <c r="D36" s="94">
        <f t="shared" si="20"/>
        <v>48337.536</v>
      </c>
      <c r="E36" s="94">
        <f t="shared" si="20"/>
        <v>58202.304000000004</v>
      </c>
      <c r="F36" s="154"/>
      <c r="I36" s="106" t="s">
        <v>214</v>
      </c>
      <c r="J36" s="94">
        <f t="shared" ref="J36:M36" si="21">SUM(J29:J34)</f>
        <v>16959.478116529019</v>
      </c>
      <c r="K36" s="94">
        <f t="shared" si="21"/>
        <v>9519.7390582645094</v>
      </c>
      <c r="L36" s="94">
        <f t="shared" si="21"/>
        <v>16959.478116529019</v>
      </c>
      <c r="M36" s="94">
        <f t="shared" si="21"/>
        <v>20862.150990836068</v>
      </c>
      <c r="N36" s="154"/>
    </row>
    <row r="37" spans="1:14" x14ac:dyDescent="0.25">
      <c r="A37" s="105" t="s">
        <v>212</v>
      </c>
      <c r="B37" s="94">
        <f>B26+B36</f>
        <v>81481.458891513525</v>
      </c>
      <c r="C37" s="94">
        <f>C26+C36</f>
        <v>60539.606992285015</v>
      </c>
      <c r="D37" s="94">
        <f>D26+D36</f>
        <v>81481.458891513525</v>
      </c>
      <c r="E37" s="94">
        <f>E26+E36</f>
        <v>94359.31079074202</v>
      </c>
      <c r="F37" s="157" t="s">
        <v>213</v>
      </c>
      <c r="I37" s="105" t="s">
        <v>212</v>
      </c>
      <c r="J37" s="94">
        <f>J26+J36</f>
        <v>22483.465265114603</v>
      </c>
      <c r="K37" s="94">
        <f>K26+K36</f>
        <v>14541.545556978679</v>
      </c>
      <c r="L37" s="94">
        <f>L26+L36</f>
        <v>22483.465265114603</v>
      </c>
      <c r="M37" s="94">
        <f>M26+M36</f>
        <v>26888.318789293069</v>
      </c>
      <c r="N37" s="157" t="s">
        <v>213</v>
      </c>
    </row>
    <row r="38" spans="1:14" x14ac:dyDescent="0.25">
      <c r="A38" s="105"/>
      <c r="B38" s="94"/>
      <c r="C38" s="94"/>
      <c r="D38" s="94"/>
      <c r="E38" s="94"/>
      <c r="F38" s="157"/>
      <c r="I38" s="105"/>
      <c r="J38" s="91"/>
      <c r="K38" s="91"/>
      <c r="L38" s="91"/>
      <c r="M38" s="91"/>
      <c r="N38" s="161"/>
    </row>
    <row r="39" spans="1:14" x14ac:dyDescent="0.25">
      <c r="A39" s="369" t="s">
        <v>165</v>
      </c>
      <c r="B39" s="369"/>
      <c r="C39" s="369"/>
      <c r="D39" s="369"/>
      <c r="E39" s="369"/>
      <c r="F39" s="154"/>
      <c r="I39" s="369" t="s">
        <v>165</v>
      </c>
      <c r="J39" s="369"/>
      <c r="K39" s="369"/>
      <c r="L39" s="369"/>
      <c r="M39" s="369"/>
      <c r="N39" s="162"/>
    </row>
    <row r="40" spans="1:14" x14ac:dyDescent="0.25">
      <c r="A40" s="80" t="s">
        <v>221</v>
      </c>
      <c r="B40" s="79"/>
      <c r="C40" s="155"/>
      <c r="D40" s="155"/>
      <c r="E40" s="155"/>
      <c r="F40" s="154"/>
      <c r="I40" s="98" t="s">
        <v>221</v>
      </c>
      <c r="J40" s="92"/>
      <c r="K40" s="92"/>
      <c r="L40" s="92"/>
      <c r="M40" s="92"/>
      <c r="N40" s="154"/>
    </row>
    <row r="41" spans="1:14" x14ac:dyDescent="0.25">
      <c r="A41" s="99" t="s">
        <v>169</v>
      </c>
      <c r="B41" s="92">
        <f>'Biogas to electricity - Input'!$D$35</f>
        <v>4575.170752735834</v>
      </c>
      <c r="C41" s="92">
        <f>B41*0.9</f>
        <v>4117.6536774622509</v>
      </c>
      <c r="D41" s="92">
        <f>B41</f>
        <v>4575.170752735834</v>
      </c>
      <c r="E41" s="92">
        <f>B41*1.1</f>
        <v>5032.6878280094179</v>
      </c>
      <c r="F41" s="154" t="s">
        <v>168</v>
      </c>
      <c r="I41" s="99" t="s">
        <v>169</v>
      </c>
      <c r="J41" s="92">
        <f>'Biogas to electricity - Input'!$D$35*(J3/B3)</f>
        <v>2006.7809716434924</v>
      </c>
      <c r="K41" s="92">
        <f>J41*0.9</f>
        <v>1806.1028744791431</v>
      </c>
      <c r="L41" s="92">
        <f>J41</f>
        <v>2006.7809716434924</v>
      </c>
      <c r="M41" s="92">
        <f>J41*1.1</f>
        <v>2207.459068807842</v>
      </c>
      <c r="N41" s="154" t="s">
        <v>168</v>
      </c>
    </row>
    <row r="42" spans="1:14" x14ac:dyDescent="0.25">
      <c r="A42" s="100" t="s">
        <v>180</v>
      </c>
      <c r="B42" s="92">
        <f>'Biogas to electricity - Input'!$F$35</f>
        <v>186.37704133314341</v>
      </c>
      <c r="C42" s="92">
        <f>B42*0.9</f>
        <v>167.73933719982907</v>
      </c>
      <c r="D42" s="92">
        <f>B42</f>
        <v>186.37704133314341</v>
      </c>
      <c r="E42" s="92">
        <f>B42*1.1</f>
        <v>205.01474546645775</v>
      </c>
      <c r="F42" s="154" t="s">
        <v>166</v>
      </c>
      <c r="I42" s="100" t="s">
        <v>180</v>
      </c>
      <c r="J42" s="92">
        <f>'Biogas to electricity - Input'!$F$35*(J3/B3)</f>
        <v>81.749495333023759</v>
      </c>
      <c r="K42" s="92">
        <f>J42*0.9</f>
        <v>73.574545799721392</v>
      </c>
      <c r="L42" s="92">
        <f>J42</f>
        <v>81.749495333023759</v>
      </c>
      <c r="M42" s="92">
        <f>J42*1.1</f>
        <v>89.924444866326141</v>
      </c>
      <c r="N42" s="154" t="s">
        <v>166</v>
      </c>
    </row>
    <row r="43" spans="1:14" x14ac:dyDescent="0.25">
      <c r="A43" s="99" t="s">
        <v>167</v>
      </c>
      <c r="B43" s="92">
        <f>'Biogas to electricity - Input'!$E$35</f>
        <v>869.9879071557848</v>
      </c>
      <c r="C43" s="92">
        <f>B43*0.9</f>
        <v>782.98911644020632</v>
      </c>
      <c r="D43" s="92">
        <f>B43</f>
        <v>869.9879071557848</v>
      </c>
      <c r="E43" s="92">
        <f>B43*1.1</f>
        <v>956.98669787136339</v>
      </c>
      <c r="F43" s="154" t="s">
        <v>168</v>
      </c>
      <c r="I43" s="99" t="s">
        <v>167</v>
      </c>
      <c r="J43" s="92">
        <f>'Biogas to electricity - Input'!$E$35*(J3/B3)</f>
        <v>381.59781831010048</v>
      </c>
      <c r="K43" s="92">
        <f>J43*0.9</f>
        <v>343.43803647909044</v>
      </c>
      <c r="L43" s="92">
        <f>J43</f>
        <v>381.59781831010048</v>
      </c>
      <c r="M43" s="92">
        <f>J43*1.1</f>
        <v>419.75760014111057</v>
      </c>
      <c r="N43" s="154" t="s">
        <v>168</v>
      </c>
    </row>
    <row r="44" spans="1:14" x14ac:dyDescent="0.25">
      <c r="A44" s="99" t="s">
        <v>170</v>
      </c>
      <c r="B44" s="92">
        <f>'Alton report, Credit Sales'!$D$31</f>
        <v>-2781.1921913367355</v>
      </c>
      <c r="C44" s="92">
        <f>B44*0.9</f>
        <v>-2503.0729722030619</v>
      </c>
      <c r="D44" s="92">
        <f>B44</f>
        <v>-2781.1921913367355</v>
      </c>
      <c r="E44" s="92">
        <f>B44*1.1</f>
        <v>-3059.3114104704091</v>
      </c>
      <c r="F44" s="154"/>
      <c r="I44" s="99" t="s">
        <v>170</v>
      </c>
      <c r="J44" s="92">
        <f>'Alton report, Credit Sales'!$D$31*(J3/B3)</f>
        <v>-1219.898419030719</v>
      </c>
      <c r="K44" s="92">
        <f>J44*0.9</f>
        <v>-1097.908577127647</v>
      </c>
      <c r="L44" s="92">
        <f>J44</f>
        <v>-1219.898419030719</v>
      </c>
      <c r="M44" s="92">
        <f>J44*1.1</f>
        <v>-1341.8882609337909</v>
      </c>
      <c r="N44" s="154"/>
    </row>
    <row r="45" spans="1:14" x14ac:dyDescent="0.25">
      <c r="A45" s="98" t="s">
        <v>217</v>
      </c>
      <c r="B45" s="94">
        <f>SUM(B41:B44)</f>
        <v>2850.3435098880268</v>
      </c>
      <c r="C45" s="94">
        <f>SUM(C41:C44)</f>
        <v>2565.3091588992238</v>
      </c>
      <c r="D45" s="94">
        <f>SUM(D41:D44)</f>
        <v>2850.3435098880268</v>
      </c>
      <c r="E45" s="94">
        <f>SUM(E41:E44)</f>
        <v>3135.3778608768298</v>
      </c>
      <c r="F45" s="154" t="s">
        <v>218</v>
      </c>
      <c r="I45" s="97" t="s">
        <v>217</v>
      </c>
      <c r="J45" s="94">
        <f>SUM(J41:J44)</f>
        <v>1250.2298662558976</v>
      </c>
      <c r="K45" s="94">
        <f>SUM(K41:K44)</f>
        <v>1125.2068796303081</v>
      </c>
      <c r="L45" s="94">
        <f>SUM(L41:L44)</f>
        <v>1250.2298662558976</v>
      </c>
      <c r="M45" s="94">
        <f>SUM(M41:M44)</f>
        <v>1375.252852881488</v>
      </c>
      <c r="N45" s="157" t="s">
        <v>218</v>
      </c>
    </row>
    <row r="46" spans="1:14" x14ac:dyDescent="0.25">
      <c r="A46" s="102"/>
      <c r="B46" s="79"/>
      <c r="C46" s="79"/>
      <c r="D46" s="79"/>
      <c r="E46" s="79"/>
      <c r="F46" s="154"/>
      <c r="I46" s="102"/>
      <c r="J46" s="79"/>
      <c r="K46" s="79"/>
      <c r="L46" s="79"/>
      <c r="M46" s="79"/>
      <c r="N46" s="154"/>
    </row>
    <row r="47" spans="1:14" x14ac:dyDescent="0.25">
      <c r="A47" s="101" t="s">
        <v>222</v>
      </c>
      <c r="B47" s="79"/>
      <c r="C47" s="79"/>
      <c r="D47" s="79"/>
      <c r="E47" s="79"/>
      <c r="F47" s="154"/>
      <c r="I47" s="101" t="s">
        <v>222</v>
      </c>
      <c r="J47" s="79"/>
      <c r="K47" s="79"/>
      <c r="L47" s="79"/>
      <c r="M47" s="79"/>
      <c r="N47" s="154"/>
    </row>
    <row r="48" spans="1:14" x14ac:dyDescent="0.25">
      <c r="A48" s="101" t="s">
        <v>219</v>
      </c>
      <c r="B48" s="79"/>
      <c r="C48" s="79"/>
      <c r="D48" s="79"/>
      <c r="E48" s="79"/>
      <c r="F48" s="154"/>
      <c r="I48" s="101" t="s">
        <v>219</v>
      </c>
      <c r="J48" s="79"/>
      <c r="K48" s="79"/>
      <c r="L48" s="79"/>
      <c r="M48" s="79"/>
      <c r="N48" s="154"/>
    </row>
    <row r="49" spans="1:14" x14ac:dyDescent="0.25">
      <c r="A49" s="100" t="s">
        <v>55</v>
      </c>
      <c r="B49" s="92">
        <f>'Alton report, Credit Sales'!$C$28</f>
        <v>9664.2211221503985</v>
      </c>
      <c r="C49" s="92">
        <f>'Alton report, Credit Sales'!$C$27*0.75</f>
        <v>3624.0829208063997</v>
      </c>
      <c r="D49" s="92">
        <f>B49</f>
        <v>9664.2211221503985</v>
      </c>
      <c r="E49" s="92">
        <f>'Alton report, Credit Sales'!$C$27*2.75</f>
        <v>13288.304042956797</v>
      </c>
      <c r="F49" s="79" t="s">
        <v>361</v>
      </c>
      <c r="I49" s="100" t="s">
        <v>55</v>
      </c>
      <c r="J49" s="92">
        <f>'Alton report, Credit Sales'!$C$28*(J3/B3)</f>
        <v>4238.9620195245052</v>
      </c>
      <c r="K49" s="92">
        <f>'Alton report, Credit Sales'!$C$27*0.75*(J3/B3)</f>
        <v>1589.6107573216893</v>
      </c>
      <c r="L49" s="92">
        <f>J49</f>
        <v>4238.9620195245052</v>
      </c>
      <c r="M49" s="92">
        <f>'Alton report, Credit Sales'!$C$27*2.75*(J3/B3)</f>
        <v>5828.5727768461938</v>
      </c>
      <c r="N49" s="154" t="s">
        <v>361</v>
      </c>
    </row>
    <row r="50" spans="1:14" x14ac:dyDescent="0.25">
      <c r="A50" s="109" t="s">
        <v>173</v>
      </c>
      <c r="B50" s="92">
        <f>'Alton report, Credit Sales'!$E$5</f>
        <v>2188.9047840767998</v>
      </c>
      <c r="C50" s="92">
        <f>'Alton report, Credit Sales'!$C$5*50</f>
        <v>1094.4523920383999</v>
      </c>
      <c r="D50" s="92">
        <f>B50</f>
        <v>2188.9047840767998</v>
      </c>
      <c r="E50" s="92">
        <f>'Alton report, Credit Sales'!$C$5*150</f>
        <v>3283.3571761152002</v>
      </c>
      <c r="F50" s="154" t="s">
        <v>174</v>
      </c>
      <c r="I50" s="108" t="s">
        <v>173</v>
      </c>
      <c r="J50" s="92">
        <f>'Alton report, Credit Sales'!$E$5*(J3/B3)</f>
        <v>960.10678219999477</v>
      </c>
      <c r="K50" s="92">
        <f>'Alton report, Credit Sales'!$C$5*50*(J3/B3)</f>
        <v>480.05339109999738</v>
      </c>
      <c r="L50" s="92">
        <f>J50</f>
        <v>960.10678219999477</v>
      </c>
      <c r="M50" s="92">
        <f>'Alton report, Credit Sales'!$C$5*150*(J3/B3)</f>
        <v>1440.1601732999923</v>
      </c>
      <c r="N50" s="154" t="s">
        <v>174</v>
      </c>
    </row>
    <row r="51" spans="1:14" x14ac:dyDescent="0.25">
      <c r="A51" s="101" t="s">
        <v>223</v>
      </c>
      <c r="B51" s="92">
        <f>SUM(B49:B50)</f>
        <v>11853.125906227198</v>
      </c>
      <c r="C51" s="92">
        <f>SUM(C49:C50)</f>
        <v>4718.5353128447996</v>
      </c>
      <c r="D51" s="92">
        <f>SUM(D49:D50)</f>
        <v>11853.125906227198</v>
      </c>
      <c r="E51" s="92">
        <f>SUM(E49:E50)</f>
        <v>16571.661219071997</v>
      </c>
      <c r="F51" s="154"/>
      <c r="I51" s="101" t="s">
        <v>220</v>
      </c>
      <c r="J51" s="92">
        <f>SUM(J49:J50)</f>
        <v>5199.0688017245002</v>
      </c>
      <c r="K51" s="92">
        <f>SUM(K49:K50)</f>
        <v>2069.6641484216866</v>
      </c>
      <c r="L51" s="92">
        <f>SUM(L49:L50)</f>
        <v>5199.0688017245002</v>
      </c>
      <c r="M51" s="92">
        <f>SUM(M49:M50)</f>
        <v>7268.7329501461863</v>
      </c>
      <c r="N51" s="154"/>
    </row>
    <row r="52" spans="1:14" x14ac:dyDescent="0.25">
      <c r="A52" s="99" t="s">
        <v>172</v>
      </c>
      <c r="B52" s="92">
        <f>'Alton report, Credit Sales'!$C$39</f>
        <v>1234.2176795098276</v>
      </c>
      <c r="C52" s="92">
        <f>D52*0.9</f>
        <v>1110.7959115588449</v>
      </c>
      <c r="D52" s="92">
        <f>B52</f>
        <v>1234.2176795098276</v>
      </c>
      <c r="E52" s="92">
        <f>B52*1.1</f>
        <v>1357.6394474608105</v>
      </c>
      <c r="F52" s="79" t="s">
        <v>343</v>
      </c>
      <c r="I52" s="99" t="s">
        <v>172</v>
      </c>
      <c r="J52" s="92">
        <f>'Alton report, Credit Sales'!$C$39*(J3/B3)</f>
        <v>541.35783951347457</v>
      </c>
      <c r="K52" s="92">
        <f>L52*0.9</f>
        <v>487.22205556212714</v>
      </c>
      <c r="L52" s="92">
        <f>J52</f>
        <v>541.35783951347457</v>
      </c>
      <c r="M52" s="92">
        <f>J52*1.1</f>
        <v>595.49362346482212</v>
      </c>
      <c r="N52" s="79" t="s">
        <v>343</v>
      </c>
    </row>
    <row r="53" spans="1:14" x14ac:dyDescent="0.25">
      <c r="A53" s="109" t="s">
        <v>175</v>
      </c>
      <c r="B53" s="92">
        <f>'Alton report, Credit Sales'!C42</f>
        <v>-182.21543249716603</v>
      </c>
      <c r="C53" s="92">
        <f>B53*0.9</f>
        <v>-163.99388924744943</v>
      </c>
      <c r="D53" s="92">
        <f>B53</f>
        <v>-182.21543249716603</v>
      </c>
      <c r="E53" s="92">
        <f>B53*1.1</f>
        <v>-200.43697574688267</v>
      </c>
      <c r="F53" s="154" t="s">
        <v>227</v>
      </c>
      <c r="I53" s="109" t="s">
        <v>175</v>
      </c>
      <c r="J53" s="92">
        <f>C53*(J3/B3)</f>
        <v>-71.931701392958644</v>
      </c>
      <c r="K53" s="92">
        <f>J53*0.9</f>
        <v>-64.738531253662785</v>
      </c>
      <c r="L53" s="92">
        <f>J53</f>
        <v>-71.931701392958644</v>
      </c>
      <c r="M53" s="92">
        <f>J53*1.1</f>
        <v>-79.124871532254517</v>
      </c>
      <c r="N53" s="154" t="s">
        <v>227</v>
      </c>
    </row>
    <row r="54" spans="1:14" x14ac:dyDescent="0.25">
      <c r="A54" s="109" t="s">
        <v>324</v>
      </c>
      <c r="B54" s="92">
        <f>'Alton report, Credit Sales'!$K$28</f>
        <v>-4142.6253555041485</v>
      </c>
      <c r="C54" s="92">
        <f>B54*0.9</f>
        <v>-3728.3628199537338</v>
      </c>
      <c r="D54" s="92">
        <f>B54</f>
        <v>-4142.6253555041485</v>
      </c>
      <c r="E54" s="92">
        <f>B54*1.1</f>
        <v>-4556.8878910545636</v>
      </c>
      <c r="F54" s="79" t="s">
        <v>332</v>
      </c>
      <c r="I54" s="109" t="s">
        <v>324</v>
      </c>
      <c r="J54" s="92">
        <f>B54*J3/B3</f>
        <v>-1817.0560587498114</v>
      </c>
      <c r="K54" s="92">
        <f>J54*0.9</f>
        <v>-1635.3504528748304</v>
      </c>
      <c r="L54" s="92">
        <f>J54</f>
        <v>-1817.0560587498114</v>
      </c>
      <c r="M54" s="92">
        <f>J54*1.1</f>
        <v>-1998.7616646247927</v>
      </c>
      <c r="N54" s="79" t="s">
        <v>332</v>
      </c>
    </row>
    <row r="55" spans="1:14" x14ac:dyDescent="0.25">
      <c r="A55" s="109" t="s">
        <v>331</v>
      </c>
      <c r="B55" s="92">
        <f>B51*20%*(-1)</f>
        <v>-2370.6251812454398</v>
      </c>
      <c r="C55" s="92">
        <f>C51*20%*(-1)</f>
        <v>-943.70706256895994</v>
      </c>
      <c r="D55" s="92">
        <f>D51*20%*(-1)</f>
        <v>-2370.6251812454398</v>
      </c>
      <c r="E55" s="92">
        <f>E51*20%*(-1)</f>
        <v>-3314.3322438143996</v>
      </c>
      <c r="F55" s="79" t="s">
        <v>252</v>
      </c>
      <c r="I55" s="109" t="s">
        <v>331</v>
      </c>
      <c r="J55" s="92">
        <f>(J49+J50)*20%*(-1)</f>
        <v>-1039.8137603449002</v>
      </c>
      <c r="K55" s="92">
        <f>(K49+K50)*20%*(-1)</f>
        <v>-413.93282968433732</v>
      </c>
      <c r="L55" s="92">
        <f>(L49+L50)*20%*(-1)</f>
        <v>-1039.8137603449002</v>
      </c>
      <c r="M55" s="92">
        <f>(M49+M50)*20%*(-1)</f>
        <v>-1453.7465900292373</v>
      </c>
      <c r="N55" s="154" t="s">
        <v>252</v>
      </c>
    </row>
    <row r="56" spans="1:14" x14ac:dyDescent="0.25">
      <c r="A56" s="105" t="s">
        <v>226</v>
      </c>
      <c r="B56" s="94">
        <f>SUM(B51:B55)</f>
        <v>6391.8776164902738</v>
      </c>
      <c r="C56" s="94">
        <f>SUM(C51:C55)</f>
        <v>993.26745263350119</v>
      </c>
      <c r="D56" s="94">
        <f>SUM(D51:D55)</f>
        <v>6391.8776164902738</v>
      </c>
      <c r="E56" s="94">
        <f>SUM(E51:E55)</f>
        <v>9857.6435559169622</v>
      </c>
      <c r="F56" s="157" t="s">
        <v>225</v>
      </c>
      <c r="I56" s="105" t="s">
        <v>226</v>
      </c>
      <c r="J56" s="94">
        <f>SUM(J51:J55)</f>
        <v>2811.6251207503046</v>
      </c>
      <c r="K56" s="94">
        <f>SUM(K51:K55)</f>
        <v>442.86439017098337</v>
      </c>
      <c r="L56" s="94">
        <f>SUM(L51:L55)</f>
        <v>2811.6251207503046</v>
      </c>
      <c r="M56" s="94">
        <f>SUM(M51:M55)</f>
        <v>4332.5934474247242</v>
      </c>
      <c r="N56" s="157" t="s">
        <v>225</v>
      </c>
    </row>
    <row r="57" spans="1:14" x14ac:dyDescent="0.25">
      <c r="I57" s="101"/>
      <c r="J57" s="92"/>
      <c r="K57" s="92"/>
      <c r="L57" s="92"/>
      <c r="M57" s="92"/>
      <c r="N57" s="154"/>
    </row>
    <row r="58" spans="1:14" x14ac:dyDescent="0.25">
      <c r="I58" s="101" t="s">
        <v>179</v>
      </c>
      <c r="J58" s="92">
        <v>0</v>
      </c>
      <c r="K58" s="92">
        <v>0</v>
      </c>
      <c r="L58" s="92">
        <v>0</v>
      </c>
      <c r="M58" s="92">
        <v>0</v>
      </c>
      <c r="N58" s="154"/>
    </row>
    <row r="59" spans="1:14" x14ac:dyDescent="0.25">
      <c r="A59" s="381" t="s">
        <v>209</v>
      </c>
      <c r="B59" s="381"/>
      <c r="C59" s="57" t="s">
        <v>286</v>
      </c>
    </row>
    <row r="60" spans="1:14" x14ac:dyDescent="0.25">
      <c r="A60" s="102" t="s">
        <v>193</v>
      </c>
      <c r="B60" s="88">
        <f>'Food waste'!B25</f>
        <v>3190.4061545423688</v>
      </c>
      <c r="C60" s="88">
        <f>'Food waste'!B25</f>
        <v>3190.4061545423688</v>
      </c>
      <c r="D60" s="151"/>
      <c r="E60" s="152"/>
    </row>
    <row r="61" spans="1:14" x14ac:dyDescent="0.25">
      <c r="A61" s="101" t="s">
        <v>194</v>
      </c>
      <c r="B61" s="90">
        <f>B60/2000</f>
        <v>1.5952030772711845</v>
      </c>
      <c r="C61" s="90">
        <f>C60/2000</f>
        <v>1.5952030772711845</v>
      </c>
      <c r="D61" s="151"/>
      <c r="E61" s="152"/>
    </row>
    <row r="62" spans="1:14" x14ac:dyDescent="0.25">
      <c r="A62" s="103" t="s">
        <v>202</v>
      </c>
      <c r="B62" s="75">
        <v>0.15</v>
      </c>
      <c r="C62" s="77">
        <v>0.15</v>
      </c>
      <c r="D62" s="151"/>
      <c r="E62" s="152"/>
      <c r="F62"/>
    </row>
    <row r="63" spans="1:14" x14ac:dyDescent="0.25">
      <c r="A63" s="103" t="s">
        <v>203</v>
      </c>
      <c r="B63" s="75">
        <v>0.85</v>
      </c>
      <c r="C63" s="77">
        <v>0.85</v>
      </c>
      <c r="D63" s="151"/>
      <c r="E63" s="152"/>
      <c r="F63"/>
    </row>
    <row r="64" spans="1:14" x14ac:dyDescent="0.25">
      <c r="A64" s="102" t="s">
        <v>204</v>
      </c>
      <c r="B64" s="88">
        <f>B61*B62</f>
        <v>0.23928046159067767</v>
      </c>
      <c r="C64" s="88">
        <f>C61*250</f>
        <v>398.8007693177961</v>
      </c>
      <c r="D64" s="151"/>
      <c r="E64" s="151"/>
      <c r="F64"/>
    </row>
    <row r="65" spans="1:6" x14ac:dyDescent="0.25">
      <c r="A65" s="102" t="s">
        <v>195</v>
      </c>
      <c r="B65" s="87">
        <f>'Food waste'!$H$16*(2/5)</f>
        <v>478.56092318135529</v>
      </c>
      <c r="C65" s="88">
        <f>'Food waste'!$H$16*(3/5)</f>
        <v>717.84138477203282</v>
      </c>
      <c r="D65" s="151"/>
      <c r="E65" s="152"/>
      <c r="F65"/>
    </row>
    <row r="66" spans="1:6" x14ac:dyDescent="0.25">
      <c r="A66" s="102" t="s">
        <v>196</v>
      </c>
      <c r="B66" s="88">
        <f>B65/250</f>
        <v>1.9142436927254212</v>
      </c>
      <c r="C66" s="88">
        <f>C65/250</f>
        <v>2.8713655390881314</v>
      </c>
      <c r="D66" s="151"/>
      <c r="E66" s="152"/>
      <c r="F66"/>
    </row>
    <row r="67" spans="1:6" x14ac:dyDescent="0.25">
      <c r="A67" s="102"/>
      <c r="B67" s="79"/>
      <c r="C67" s="160"/>
      <c r="D67" s="152"/>
      <c r="E67" s="152"/>
      <c r="F67"/>
    </row>
    <row r="68" spans="1:6" x14ac:dyDescent="0.25">
      <c r="A68" s="102" t="s">
        <v>201</v>
      </c>
      <c r="B68" s="88">
        <f>B66+B61</f>
        <v>3.5094467699966057</v>
      </c>
      <c r="C68" s="88">
        <f>C66+C61</f>
        <v>4.4665686163593161</v>
      </c>
      <c r="F68"/>
    </row>
    <row r="69" spans="1:6" x14ac:dyDescent="0.25">
      <c r="A69" s="102" t="s">
        <v>265</v>
      </c>
      <c r="B69" s="88">
        <f>B68*250</f>
        <v>877.36169249915145</v>
      </c>
      <c r="C69" s="88">
        <f>C68*250</f>
        <v>1116.6421540898291</v>
      </c>
      <c r="F69"/>
    </row>
    <row r="70" spans="1:6" x14ac:dyDescent="0.25">
      <c r="A70" s="103" t="s">
        <v>205</v>
      </c>
      <c r="B70" s="76">
        <f>((B61*15%)+(B66*0%))/B68</f>
        <v>6.8181818181818191E-2</v>
      </c>
      <c r="C70" s="64"/>
      <c r="F70"/>
    </row>
    <row r="71" spans="1:6" x14ac:dyDescent="0.25">
      <c r="A71" s="142"/>
      <c r="B71" s="143"/>
      <c r="F71"/>
    </row>
    <row r="73" spans="1:6" x14ac:dyDescent="0.25">
      <c r="A73" s="336" t="s">
        <v>288</v>
      </c>
      <c r="B73" s="336"/>
      <c r="C73" s="336"/>
      <c r="D73" s="336"/>
      <c r="E73" s="336"/>
      <c r="F73" s="154"/>
    </row>
    <row r="74" spans="1:6" x14ac:dyDescent="0.25">
      <c r="A74" s="101"/>
      <c r="B74" s="91" t="s">
        <v>144</v>
      </c>
      <c r="C74" s="337" t="s">
        <v>145</v>
      </c>
      <c r="D74" s="337"/>
      <c r="E74" s="337"/>
      <c r="F74" s="154"/>
    </row>
    <row r="75" spans="1:6" x14ac:dyDescent="0.25">
      <c r="A75" s="101"/>
      <c r="B75" s="92"/>
      <c r="C75" s="91" t="s">
        <v>146</v>
      </c>
      <c r="D75" s="91" t="s">
        <v>147</v>
      </c>
      <c r="E75" s="91" t="s">
        <v>148</v>
      </c>
      <c r="F75" s="154"/>
    </row>
    <row r="76" spans="1:6" x14ac:dyDescent="0.25">
      <c r="A76" s="101" t="s">
        <v>87</v>
      </c>
      <c r="B76" s="92">
        <v>59950</v>
      </c>
      <c r="C76" s="92">
        <v>0</v>
      </c>
      <c r="D76" s="92">
        <v>0</v>
      </c>
      <c r="E76" s="92">
        <v>0</v>
      </c>
      <c r="F76" s="154" t="s">
        <v>266</v>
      </c>
    </row>
    <row r="77" spans="1:6" ht="30" x14ac:dyDescent="0.25">
      <c r="A77" s="101" t="s">
        <v>177</v>
      </c>
      <c r="B77" s="92">
        <v>0</v>
      </c>
      <c r="C77" s="92">
        <v>0</v>
      </c>
      <c r="D77" s="92">
        <v>0</v>
      </c>
      <c r="E77" s="92">
        <v>0</v>
      </c>
      <c r="F77" s="154" t="s">
        <v>278</v>
      </c>
    </row>
    <row r="78" spans="1:6" x14ac:dyDescent="0.25">
      <c r="A78" s="105" t="s">
        <v>103</v>
      </c>
      <c r="B78" s="92">
        <f>SUM(B76:B77)</f>
        <v>59950</v>
      </c>
      <c r="C78" s="92">
        <f>SUM(C76:C77)</f>
        <v>0</v>
      </c>
      <c r="D78" s="92">
        <f>SUM(D76:D77)</f>
        <v>0</v>
      </c>
      <c r="E78" s="92">
        <f>SUM(E76:E77)</f>
        <v>0</v>
      </c>
      <c r="F78" s="154"/>
    </row>
    <row r="79" spans="1:6" x14ac:dyDescent="0.25">
      <c r="A79" s="101"/>
      <c r="B79" s="92"/>
      <c r="C79" s="94" t="s">
        <v>151</v>
      </c>
      <c r="D79" s="94"/>
      <c r="E79" s="94"/>
      <c r="F79" s="154"/>
    </row>
    <row r="80" spans="1:6" ht="30" x14ac:dyDescent="0.25">
      <c r="A80" s="98" t="s">
        <v>103</v>
      </c>
      <c r="B80" s="71">
        <f>D80</f>
        <v>65945</v>
      </c>
      <c r="C80" s="92">
        <f>B78</f>
        <v>59950</v>
      </c>
      <c r="D80" s="92">
        <f>B78*1.1</f>
        <v>65945</v>
      </c>
      <c r="E80" s="92">
        <f>B78*1.2</f>
        <v>71940</v>
      </c>
      <c r="F80" s="154" t="s">
        <v>260</v>
      </c>
    </row>
    <row r="81" spans="1:6" x14ac:dyDescent="0.25">
      <c r="A81" s="101" t="s">
        <v>270</v>
      </c>
      <c r="B81" s="147">
        <v>0.03</v>
      </c>
      <c r="C81" s="148">
        <v>0.03</v>
      </c>
      <c r="D81" s="148">
        <v>0.03</v>
      </c>
      <c r="E81" s="148">
        <v>0.03</v>
      </c>
      <c r="F81" s="154" t="s">
        <v>271</v>
      </c>
    </row>
    <row r="82" spans="1:6" x14ac:dyDescent="0.25">
      <c r="A82" s="101" t="s">
        <v>273</v>
      </c>
      <c r="B82" s="149">
        <v>15</v>
      </c>
      <c r="C82" s="150">
        <v>15</v>
      </c>
      <c r="D82" s="150">
        <v>15</v>
      </c>
      <c r="E82" s="150">
        <v>15</v>
      </c>
      <c r="F82" s="154" t="s">
        <v>272</v>
      </c>
    </row>
    <row r="83" spans="1:6" x14ac:dyDescent="0.25">
      <c r="A83" s="101" t="s">
        <v>274</v>
      </c>
      <c r="B83" s="160">
        <f>(((1+B81)^B82)-1)/(B81*(1+B81)^B82)</f>
        <v>11.937935086776077</v>
      </c>
      <c r="C83" s="160">
        <f t="shared" ref="C83" si="22">(((1+C81)^C82)-1)/(C81*(1+C81)^C82)</f>
        <v>11.937935086776077</v>
      </c>
      <c r="D83" s="160">
        <f t="shared" ref="D83" si="23">(((1+D81)^D82)-1)/(D81*(1+D81)^D82)</f>
        <v>11.937935086776077</v>
      </c>
      <c r="E83" s="160">
        <f t="shared" ref="E83" si="24">(((1+E81)^E82)-1)/(E81*(1+E81)^E82)</f>
        <v>11.937935086776077</v>
      </c>
      <c r="F83" s="154"/>
    </row>
    <row r="84" spans="1:6" ht="30" x14ac:dyDescent="0.25">
      <c r="A84" s="101" t="s">
        <v>269</v>
      </c>
      <c r="B84" s="91">
        <f t="shared" ref="B84" si="25">B80/B83</f>
        <v>5523.9871485855856</v>
      </c>
      <c r="C84" s="92">
        <f t="shared" ref="C84" si="26">C80/C83</f>
        <v>5021.8064987141688</v>
      </c>
      <c r="D84" s="92">
        <f t="shared" ref="D84" si="27">D80/D83</f>
        <v>5523.9871485855856</v>
      </c>
      <c r="E84" s="92">
        <f t="shared" ref="E84" si="28">E80/E83</f>
        <v>6026.1677984570024</v>
      </c>
      <c r="F84" s="154" t="s">
        <v>275</v>
      </c>
    </row>
    <row r="85" spans="1:6" x14ac:dyDescent="0.25">
      <c r="A85" s="98"/>
      <c r="B85" s="92"/>
      <c r="C85" s="92"/>
      <c r="D85" s="92"/>
      <c r="E85" s="92"/>
      <c r="F85" s="154"/>
    </row>
    <row r="86" spans="1:6" x14ac:dyDescent="0.25">
      <c r="A86" s="101" t="s">
        <v>211</v>
      </c>
      <c r="B86" s="92"/>
      <c r="C86" s="92"/>
      <c r="D86" s="92"/>
      <c r="E86" s="92"/>
      <c r="F86" s="154"/>
    </row>
    <row r="87" spans="1:6" ht="30" x14ac:dyDescent="0.25">
      <c r="A87" s="104" t="s">
        <v>153</v>
      </c>
      <c r="B87" s="92">
        <v>100</v>
      </c>
      <c r="C87" s="92">
        <f t="shared" ref="C87:C92" si="29">B87*0.9</f>
        <v>90</v>
      </c>
      <c r="D87" s="92">
        <f t="shared" ref="D87:D92" si="30">B87*1</f>
        <v>100</v>
      </c>
      <c r="E87" s="92">
        <f t="shared" ref="E87:E92" si="31">B87*1.1</f>
        <v>110.00000000000001</v>
      </c>
      <c r="F87" s="154" t="s">
        <v>182</v>
      </c>
    </row>
    <row r="88" spans="1:6" x14ac:dyDescent="0.25">
      <c r="A88" s="104" t="s">
        <v>154</v>
      </c>
      <c r="B88" s="92">
        <v>0</v>
      </c>
      <c r="C88" s="92">
        <v>0</v>
      </c>
      <c r="D88" s="92">
        <v>0</v>
      </c>
      <c r="E88" s="92">
        <v>0</v>
      </c>
      <c r="F88" s="95" t="s">
        <v>263</v>
      </c>
    </row>
    <row r="89" spans="1:6" x14ac:dyDescent="0.25">
      <c r="A89" s="104" t="s">
        <v>155</v>
      </c>
      <c r="B89" s="92">
        <f>B65*4.18*32/1000</f>
        <v>64.012309084738078</v>
      </c>
      <c r="C89" s="92">
        <f>B65*(1/2)*4.18*32/1000</f>
        <v>32.006154542369039</v>
      </c>
      <c r="D89" s="92">
        <f>B89</f>
        <v>64.012309084738078</v>
      </c>
      <c r="E89" s="92">
        <f>B65*(3/2)*4.18*32/1000</f>
        <v>96.018463627107124</v>
      </c>
      <c r="F89" s="154" t="s">
        <v>264</v>
      </c>
    </row>
    <row r="90" spans="1:6" ht="30" x14ac:dyDescent="0.25">
      <c r="A90" s="104" t="s">
        <v>161</v>
      </c>
      <c r="B90" s="92">
        <f>C69*30*32/1000</f>
        <v>1071.976467926236</v>
      </c>
      <c r="C90" s="92">
        <f>C69*20*32/1000</f>
        <v>714.65097861749064</v>
      </c>
      <c r="D90" s="92">
        <f>B90</f>
        <v>1071.976467926236</v>
      </c>
      <c r="E90" s="92">
        <f>C69*40*32/1000</f>
        <v>1429.3019572349813</v>
      </c>
      <c r="F90" s="154" t="s">
        <v>285</v>
      </c>
    </row>
    <row r="91" spans="1:6" x14ac:dyDescent="0.25">
      <c r="A91" s="104" t="s">
        <v>162</v>
      </c>
      <c r="B91" s="92">
        <f>D91</f>
        <v>3215.9294037787076</v>
      </c>
      <c r="C91" s="92">
        <f>0.04*C69*32</f>
        <v>1429.3019572349813</v>
      </c>
      <c r="D91" s="92">
        <f>0.09*C69*32</f>
        <v>3215.9294037787076</v>
      </c>
      <c r="E91" s="92">
        <f>0.11*C69*32</f>
        <v>3930.5803823961983</v>
      </c>
      <c r="F91" s="154" t="s">
        <v>348</v>
      </c>
    </row>
    <row r="92" spans="1:6" ht="30" x14ac:dyDescent="0.25">
      <c r="A92" s="104" t="s">
        <v>7</v>
      </c>
      <c r="B92" s="92">
        <f>'Current - Aerobic (EnviroPure)'!$B$59</f>
        <v>2500</v>
      </c>
      <c r="C92" s="92">
        <f t="shared" si="29"/>
        <v>2250</v>
      </c>
      <c r="D92" s="92">
        <f t="shared" si="30"/>
        <v>2500</v>
      </c>
      <c r="E92" s="92">
        <f t="shared" si="31"/>
        <v>2750</v>
      </c>
      <c r="F92" s="154" t="s">
        <v>191</v>
      </c>
    </row>
    <row r="93" spans="1:6" x14ac:dyDescent="0.25">
      <c r="A93" s="104" t="s">
        <v>289</v>
      </c>
      <c r="B93" s="112">
        <f>129*12</f>
        <v>1548</v>
      </c>
      <c r="C93" s="112">
        <f t="shared" ref="C93:E93" si="32">129*12</f>
        <v>1548</v>
      </c>
      <c r="D93" s="112">
        <f t="shared" si="32"/>
        <v>1548</v>
      </c>
      <c r="E93" s="112">
        <f t="shared" si="32"/>
        <v>1548</v>
      </c>
      <c r="F93" s="154" t="s">
        <v>326</v>
      </c>
    </row>
    <row r="94" spans="1:6" x14ac:dyDescent="0.25">
      <c r="A94" s="106" t="s">
        <v>214</v>
      </c>
      <c r="B94" s="94">
        <f t="shared" ref="B94:E94" si="33">SUM(B87:B92)</f>
        <v>6951.9181807896821</v>
      </c>
      <c r="C94" s="94">
        <f t="shared" si="33"/>
        <v>4515.959090394841</v>
      </c>
      <c r="D94" s="94">
        <f t="shared" si="33"/>
        <v>6951.9181807896821</v>
      </c>
      <c r="E94" s="94">
        <f t="shared" si="33"/>
        <v>8315.900803258286</v>
      </c>
      <c r="F94" s="154"/>
    </row>
    <row r="95" spans="1:6" x14ac:dyDescent="0.25">
      <c r="A95" s="105" t="s">
        <v>212</v>
      </c>
      <c r="B95" s="94">
        <f>B84+B94</f>
        <v>12475.905329375268</v>
      </c>
      <c r="C95" s="94">
        <f>C84+C94</f>
        <v>9537.7655891090108</v>
      </c>
      <c r="D95" s="94">
        <f>D84+D94</f>
        <v>12475.905329375268</v>
      </c>
      <c r="E95" s="94">
        <f>E84+E94</f>
        <v>14342.068601715288</v>
      </c>
      <c r="F95" s="157" t="s">
        <v>213</v>
      </c>
    </row>
    <row r="96" spans="1:6" x14ac:dyDescent="0.25">
      <c r="A96" s="105"/>
      <c r="B96" s="91"/>
      <c r="C96" s="91"/>
      <c r="D96" s="91"/>
      <c r="E96" s="91"/>
      <c r="F96" s="161"/>
    </row>
    <row r="97" spans="1:6" x14ac:dyDescent="0.25">
      <c r="A97" s="369" t="s">
        <v>165</v>
      </c>
      <c r="B97" s="369"/>
      <c r="C97" s="369"/>
      <c r="D97" s="369"/>
      <c r="E97" s="369"/>
      <c r="F97" s="162"/>
    </row>
    <row r="98" spans="1:6" x14ac:dyDescent="0.25">
      <c r="A98" s="98" t="s">
        <v>221</v>
      </c>
      <c r="B98" s="92"/>
      <c r="C98" s="92"/>
      <c r="D98" s="92"/>
      <c r="E98" s="92"/>
      <c r="F98" s="154"/>
    </row>
    <row r="99" spans="1:6" x14ac:dyDescent="0.25">
      <c r="A99" s="99" t="s">
        <v>169</v>
      </c>
      <c r="B99" s="92">
        <f>'Biogas to electricity - Input'!$D$35*(B61/B3)</f>
        <v>608.19387198377694</v>
      </c>
      <c r="C99" s="92">
        <f>B99*0.9</f>
        <v>547.37448478539932</v>
      </c>
      <c r="D99" s="92">
        <f>B99</f>
        <v>608.19387198377694</v>
      </c>
      <c r="E99" s="92">
        <f>B99*1.1</f>
        <v>669.01325918215468</v>
      </c>
      <c r="F99" s="154" t="s">
        <v>168</v>
      </c>
    </row>
    <row r="100" spans="1:6" x14ac:dyDescent="0.25">
      <c r="A100" s="100" t="s">
        <v>180</v>
      </c>
      <c r="B100" s="92">
        <f>'Biogas to electricity - Input'!$F$35*(B61/B3)</f>
        <v>24.775769155610757</v>
      </c>
      <c r="C100" s="92">
        <f>B100*0.9</f>
        <v>22.29819224004968</v>
      </c>
      <c r="D100" s="92">
        <f>B100</f>
        <v>24.775769155610757</v>
      </c>
      <c r="E100" s="92">
        <f>B100*1.1</f>
        <v>27.253346071171833</v>
      </c>
      <c r="F100" s="154" t="s">
        <v>166</v>
      </c>
    </row>
    <row r="101" spans="1:6" x14ac:dyDescent="0.25">
      <c r="A101" s="99" t="s">
        <v>167</v>
      </c>
      <c r="B101" s="92">
        <f>'Biogas to electricity - Input'!$E$35*(B61/B3)</f>
        <v>115.65061555696877</v>
      </c>
      <c r="C101" s="92">
        <f>B101*0.9</f>
        <v>104.0855540012719</v>
      </c>
      <c r="D101" s="92">
        <f>B101</f>
        <v>115.65061555696877</v>
      </c>
      <c r="E101" s="92">
        <f>B101*1.1</f>
        <v>127.21567711266566</v>
      </c>
      <c r="F101" s="154" t="s">
        <v>168</v>
      </c>
    </row>
    <row r="102" spans="1:6" x14ac:dyDescent="0.25">
      <c r="A102" s="99" t="s">
        <v>170</v>
      </c>
      <c r="B102" s="92">
        <f>'Alton report, Credit Sales'!$D$31*(B61/B3)</f>
        <v>-369.71386184191243</v>
      </c>
      <c r="C102" s="92">
        <f>B102*0.9</f>
        <v>-332.74247565772117</v>
      </c>
      <c r="D102" s="92">
        <f>B102</f>
        <v>-369.71386184191243</v>
      </c>
      <c r="E102" s="92">
        <f>B102*1.1</f>
        <v>-406.68524802610369</v>
      </c>
      <c r="F102" s="154"/>
    </row>
    <row r="103" spans="1:6" x14ac:dyDescent="0.25">
      <c r="A103" s="97" t="s">
        <v>217</v>
      </c>
      <c r="B103" s="94">
        <f>SUM(B99:B102)</f>
        <v>378.90639485444404</v>
      </c>
      <c r="C103" s="94">
        <f>SUM(C99:C102)</f>
        <v>341.01575536899981</v>
      </c>
      <c r="D103" s="94">
        <f>SUM(D99:D102)</f>
        <v>378.90639485444404</v>
      </c>
      <c r="E103" s="94">
        <f>SUM(E99:E102)</f>
        <v>416.7970343398884</v>
      </c>
      <c r="F103" s="157" t="s">
        <v>218</v>
      </c>
    </row>
    <row r="104" spans="1:6" x14ac:dyDescent="0.25">
      <c r="A104" s="102"/>
      <c r="B104" s="79"/>
      <c r="C104" s="79"/>
      <c r="D104" s="79"/>
      <c r="E104" s="79"/>
      <c r="F104" s="154"/>
    </row>
    <row r="105" spans="1:6" x14ac:dyDescent="0.25">
      <c r="A105" s="101" t="s">
        <v>222</v>
      </c>
      <c r="B105" s="79"/>
      <c r="C105" s="79"/>
      <c r="D105" s="79"/>
      <c r="E105" s="79"/>
      <c r="F105" s="154"/>
    </row>
    <row r="106" spans="1:6" x14ac:dyDescent="0.25">
      <c r="A106" s="101" t="s">
        <v>219</v>
      </c>
      <c r="B106" s="79"/>
      <c r="C106" s="79"/>
      <c r="D106" s="79"/>
      <c r="E106" s="79"/>
      <c r="F106" s="154"/>
    </row>
    <row r="107" spans="1:6" x14ac:dyDescent="0.25">
      <c r="A107" s="100" t="s">
        <v>55</v>
      </c>
      <c r="B107" s="92">
        <f>'Alton report, Credit Sales'!$C$28*(1.6/12)</f>
        <v>1288.5628162867197</v>
      </c>
      <c r="C107" s="92">
        <f>'Alton report, Credit Sales'!$C$27*0.75*(1.6/12)</f>
        <v>483.21105610751994</v>
      </c>
      <c r="D107" s="92">
        <f>B107</f>
        <v>1288.5628162867197</v>
      </c>
      <c r="E107" s="92">
        <f>'Alton report, Credit Sales'!$C$27*2.75*(1.6/12)</f>
        <v>1771.7738723942396</v>
      </c>
      <c r="F107" s="79" t="s">
        <v>361</v>
      </c>
    </row>
    <row r="108" spans="1:6" x14ac:dyDescent="0.25">
      <c r="A108" s="108" t="s">
        <v>173</v>
      </c>
      <c r="B108" s="92">
        <f>'Alton report, Credit Sales'!$E$5*(1.6/12)</f>
        <v>291.85397121023999</v>
      </c>
      <c r="C108" s="92">
        <f>'Alton report, Credit Sales'!$C$5*50*(1.6/12)</f>
        <v>145.92698560512</v>
      </c>
      <c r="D108" s="92">
        <f>B108</f>
        <v>291.85397121023999</v>
      </c>
      <c r="E108" s="92">
        <f>'Alton report, Credit Sales'!$C$5*150*(1.6/12)</f>
        <v>437.78095681536001</v>
      </c>
      <c r="F108" s="154" t="s">
        <v>174</v>
      </c>
    </row>
    <row r="109" spans="1:6" x14ac:dyDescent="0.25">
      <c r="A109" s="101" t="s">
        <v>220</v>
      </c>
      <c r="B109" s="92">
        <f>SUM(B107:B108)</f>
        <v>1580.4167874969596</v>
      </c>
      <c r="C109" s="92">
        <f>SUM(C107:C108)</f>
        <v>629.13804171263996</v>
      </c>
      <c r="D109" s="92">
        <f>SUM(D107:D108)</f>
        <v>1580.4167874969596</v>
      </c>
      <c r="E109" s="92">
        <f>SUM(E107:E108)</f>
        <v>2209.5548292095996</v>
      </c>
      <c r="F109" s="154"/>
    </row>
    <row r="110" spans="1:6" x14ac:dyDescent="0.25">
      <c r="A110" s="99" t="s">
        <v>172</v>
      </c>
      <c r="B110" s="92">
        <f>'Alton report, Credit Sales'!$C$39*(1.6/12)</f>
        <v>164.56235726797701</v>
      </c>
      <c r="C110" s="92">
        <f>D110*0.9</f>
        <v>148.10612154117931</v>
      </c>
      <c r="D110" s="92">
        <f>B110</f>
        <v>164.56235726797701</v>
      </c>
      <c r="E110" s="92">
        <f>B110*1.1</f>
        <v>181.01859299477474</v>
      </c>
      <c r="F110" s="79" t="s">
        <v>343</v>
      </c>
    </row>
    <row r="111" spans="1:6" x14ac:dyDescent="0.25">
      <c r="A111" s="109" t="s">
        <v>175</v>
      </c>
      <c r="B111" s="92">
        <f>B53*(B61/B3)</f>
        <v>-24.22255155381492</v>
      </c>
      <c r="C111" s="92">
        <f>B111*0.9</f>
        <v>-21.800296398433428</v>
      </c>
      <c r="D111" s="92">
        <f>B111</f>
        <v>-24.22255155381492</v>
      </c>
      <c r="E111" s="92">
        <f>B111*1.1</f>
        <v>-26.644806709196416</v>
      </c>
      <c r="F111" s="154" t="s">
        <v>227</v>
      </c>
    </row>
    <row r="112" spans="1:6" x14ac:dyDescent="0.25">
      <c r="A112" s="109" t="s">
        <v>324</v>
      </c>
      <c r="B112" s="92">
        <f>B54*B61/B3</f>
        <v>-550.69405959015432</v>
      </c>
      <c r="C112" s="92">
        <f>B112*0.9</f>
        <v>-495.62465363113893</v>
      </c>
      <c r="D112" s="92">
        <f>B112</f>
        <v>-550.69405959015432</v>
      </c>
      <c r="E112" s="92">
        <f>B112*1.1</f>
        <v>-605.76346554916984</v>
      </c>
      <c r="F112" s="79" t="s">
        <v>332</v>
      </c>
    </row>
    <row r="113" spans="1:6" x14ac:dyDescent="0.25">
      <c r="A113" s="109" t="s">
        <v>331</v>
      </c>
      <c r="B113" s="92">
        <f>(B107+B108)*20%*(-1)</f>
        <v>-316.08335749939192</v>
      </c>
      <c r="C113" s="92">
        <f>(C107+C108)*20%*(-1)</f>
        <v>-125.82760834252799</v>
      </c>
      <c r="D113" s="92">
        <f>(D107+D108)*20%*(-1)</f>
        <v>-316.08335749939192</v>
      </c>
      <c r="E113" s="92">
        <f>(E107+E108)*20%*(-1)</f>
        <v>-441.91096584191996</v>
      </c>
      <c r="F113" s="154" t="s">
        <v>252</v>
      </c>
    </row>
    <row r="114" spans="1:6" x14ac:dyDescent="0.25">
      <c r="A114" s="105" t="s">
        <v>226</v>
      </c>
      <c r="B114" s="94">
        <f>SUM(B109:B113)</f>
        <v>853.97917612157539</v>
      </c>
      <c r="C114" s="94">
        <f>SUM(C109:C113)</f>
        <v>133.99160488171896</v>
      </c>
      <c r="D114" s="94">
        <f>SUM(D109:D113)</f>
        <v>853.97917612157539</v>
      </c>
      <c r="E114" s="94">
        <f>SUM(E109:E113)</f>
        <v>1316.2541841040882</v>
      </c>
      <c r="F114" s="157" t="s">
        <v>225</v>
      </c>
    </row>
    <row r="115" spans="1:6" x14ac:dyDescent="0.25">
      <c r="A115" s="101"/>
      <c r="B115" s="92"/>
      <c r="C115" s="92"/>
      <c r="D115" s="92"/>
      <c r="E115" s="92"/>
      <c r="F115" s="154"/>
    </row>
    <row r="116" spans="1:6" x14ac:dyDescent="0.25">
      <c r="A116" s="101" t="s">
        <v>179</v>
      </c>
      <c r="B116" s="92">
        <v>0</v>
      </c>
      <c r="C116" s="92">
        <v>0</v>
      </c>
      <c r="D116" s="92">
        <v>0</v>
      </c>
      <c r="E116" s="92">
        <v>0</v>
      </c>
      <c r="F116" s="154"/>
    </row>
  </sheetData>
  <mergeCells count="12">
    <mergeCell ref="I1:J1"/>
    <mergeCell ref="I15:M15"/>
    <mergeCell ref="K16:M16"/>
    <mergeCell ref="I39:M39"/>
    <mergeCell ref="A97:E97"/>
    <mergeCell ref="A1:B1"/>
    <mergeCell ref="A15:E15"/>
    <mergeCell ref="C16:E16"/>
    <mergeCell ref="A39:E39"/>
    <mergeCell ref="A73:E73"/>
    <mergeCell ref="C74:E74"/>
    <mergeCell ref="A59:B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Optimization Dashboard</vt:lpstr>
      <vt:lpstr>Biogas to electricity - Input</vt:lpstr>
      <vt:lpstr>Food waste</vt:lpstr>
      <vt:lpstr>Alton report, Credit Sales</vt:lpstr>
      <vt:lpstr>Current - Aerobic (EnviroPure)</vt:lpstr>
      <vt:lpstr>Proposed - Pulper (Insinkerator</vt:lpstr>
      <vt:lpstr>Proposed - Pulper (Somat)</vt:lpstr>
      <vt:lpstr>Proposed - Tri-Cycle Pulper</vt:lpstr>
      <vt:lpstr>Proposed - Grind2Energy</vt:lpstr>
      <vt:lpstr>Proposed - Offsite Grinding</vt:lpstr>
      <vt:lpstr>Comparison Calculator (Busey Ev</vt:lpstr>
      <vt:lpstr>Comparing all options</vt:lpstr>
      <vt:lpstr>Comparing all options Chart</vt:lpstr>
      <vt:lpstr>'Proposed - Tri-Cycle Pulper'!Print_Area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Prasad, Sarthak</dc:creator>
  <cp:lastModifiedBy>User</cp:lastModifiedBy>
  <cp:lastPrinted>2018-09-24T17:26:46Z</cp:lastPrinted>
  <dcterms:created xsi:type="dcterms:W3CDTF">2018-07-31T17:58:19Z</dcterms:created>
  <dcterms:modified xsi:type="dcterms:W3CDTF">2018-11-13T15:19:43Z</dcterms:modified>
</cp:coreProperties>
</file>