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122"/>
  <workbookPr autoCompressPictures="0"/>
  <bookViews>
    <workbookView xWindow="-33140" yWindow="0" windowWidth="27320" windowHeight="16820" activeTab="1"/>
  </bookViews>
  <sheets>
    <sheet name="Uelmen toilet calculations" sheetId="1" r:id="rId1"/>
    <sheet name="Uelmen urinal calculations" sheetId="4" r:id="rId2"/>
    <sheet name="Annual Water Consumption comp." sheetId="2" r:id="rId3"/>
    <sheet name="Notes" sheetId="3" r:id="rId4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H9" i="4"/>
  <c r="H4" i="4"/>
  <c r="H3" i="4"/>
  <c r="H9" i="1"/>
  <c r="H10" i="1"/>
  <c r="H4" i="1"/>
  <c r="H3" i="1"/>
  <c r="I3" i="1"/>
  <c r="I9" i="1"/>
  <c r="I16" i="1"/>
  <c r="G4" i="4"/>
  <c r="G3" i="4"/>
  <c r="G3" i="1"/>
  <c r="G4" i="1"/>
  <c r="L3" i="4"/>
  <c r="M3" i="4"/>
  <c r="G9" i="4"/>
  <c r="L9" i="4"/>
  <c r="M9" i="4"/>
  <c r="M16" i="4"/>
  <c r="L4" i="4"/>
  <c r="M4" i="4"/>
  <c r="G10" i="4"/>
  <c r="L10" i="4"/>
  <c r="M10" i="4"/>
  <c r="M17" i="4"/>
  <c r="M18" i="4"/>
  <c r="L16" i="4"/>
  <c r="L17" i="4"/>
  <c r="L18" i="4"/>
  <c r="J3" i="4"/>
  <c r="K3" i="4"/>
  <c r="J9" i="4"/>
  <c r="K9" i="4"/>
  <c r="K16" i="4"/>
  <c r="J4" i="4"/>
  <c r="K4" i="4"/>
  <c r="J10" i="4"/>
  <c r="K10" i="4"/>
  <c r="K17" i="4"/>
  <c r="K18" i="4"/>
  <c r="J16" i="4"/>
  <c r="J17" i="4"/>
  <c r="J18" i="4"/>
  <c r="I3" i="4"/>
  <c r="I9" i="4"/>
  <c r="I16" i="4"/>
  <c r="I4" i="4"/>
  <c r="I10" i="4"/>
  <c r="I17" i="4"/>
  <c r="I18" i="4"/>
  <c r="H16" i="4"/>
  <c r="H17" i="4"/>
  <c r="H18" i="4"/>
  <c r="G17" i="4"/>
  <c r="G16" i="4"/>
  <c r="M11" i="4"/>
  <c r="L11" i="4"/>
  <c r="K11" i="4"/>
  <c r="J11" i="4"/>
  <c r="I11" i="4"/>
  <c r="H11" i="4"/>
  <c r="M5" i="4"/>
  <c r="L5" i="4"/>
  <c r="K5" i="4"/>
  <c r="J5" i="4"/>
  <c r="I5" i="4"/>
  <c r="H5" i="4"/>
  <c r="A10" i="3"/>
  <c r="A9" i="3"/>
  <c r="A4" i="3"/>
  <c r="I4" i="1"/>
  <c r="I5" i="1"/>
  <c r="J3" i="1"/>
  <c r="J4" i="1"/>
  <c r="J5" i="1"/>
  <c r="K3" i="1"/>
  <c r="K4" i="1"/>
  <c r="K5" i="1"/>
  <c r="L3" i="1"/>
  <c r="L4" i="1"/>
  <c r="L5" i="1"/>
  <c r="M3" i="1"/>
  <c r="M4" i="1"/>
  <c r="M5" i="1"/>
  <c r="H5" i="1"/>
  <c r="G10" i="1"/>
  <c r="H17" i="1"/>
  <c r="I10" i="1"/>
  <c r="I17" i="1"/>
  <c r="J10" i="1"/>
  <c r="J17" i="1"/>
  <c r="K10" i="1"/>
  <c r="K17" i="1"/>
  <c r="L10" i="1"/>
  <c r="L17" i="1"/>
  <c r="M10" i="1"/>
  <c r="M17" i="1"/>
  <c r="G17" i="1"/>
  <c r="G9" i="1"/>
  <c r="H16" i="1"/>
  <c r="J9" i="1"/>
  <c r="J16" i="1"/>
  <c r="K9" i="1"/>
  <c r="K16" i="1"/>
  <c r="L9" i="1"/>
  <c r="L16" i="1"/>
  <c r="M9" i="1"/>
  <c r="M16" i="1"/>
  <c r="G16" i="1"/>
  <c r="M18" i="1"/>
  <c r="L18" i="1"/>
  <c r="K18" i="1"/>
  <c r="J18" i="1"/>
  <c r="I18" i="1"/>
  <c r="H18" i="1"/>
  <c r="M11" i="1"/>
  <c r="I11" i="1"/>
  <c r="J11" i="1"/>
  <c r="K11" i="1"/>
  <c r="L11" i="1"/>
  <c r="H11" i="1"/>
</calcChain>
</file>

<file path=xl/sharedStrings.xml><?xml version="1.0" encoding="utf-8"?>
<sst xmlns="http://schemas.openxmlformats.org/spreadsheetml/2006/main" count="183" uniqueCount="69">
  <si>
    <t>Building</t>
  </si>
  <si>
    <t>Floor</t>
  </si>
  <si>
    <t>GPF</t>
  </si>
  <si>
    <t>estimated total expense (per day)</t>
  </si>
  <si>
    <t>estimated total expense (per year)</t>
  </si>
  <si>
    <t>estimated total greenhouse gas emissions (lb per year)</t>
  </si>
  <si>
    <t>estimated water use (gallons per day) (with current models)</t>
  </si>
  <si>
    <t>estimated water use (gallons per year (with current models)</t>
  </si>
  <si>
    <t>yellow cells are excluded from calculations</t>
  </si>
  <si>
    <t>Buyback Period</t>
  </si>
  <si>
    <t>Water Consumption</t>
  </si>
  <si>
    <t>Comparison of Annual Water Consumption</t>
  </si>
  <si>
    <t>Water Utility Costs</t>
  </si>
  <si>
    <r>
      <t>C0</t>
    </r>
    <r>
      <rPr>
        <i/>
        <vertAlign val="subscript"/>
        <sz val="10"/>
        <color rgb="FF000000"/>
        <rFont val="Calibri"/>
        <family val="2"/>
        <scheme val="minor"/>
      </rPr>
      <t>2</t>
    </r>
    <r>
      <rPr>
        <i/>
        <sz val="10"/>
        <color rgb="FF000000"/>
        <rFont val="Calibri"/>
        <family val="2"/>
        <scheme val="minor"/>
      </rPr>
      <t>-equivalent Greenhouse Gas Emissions</t>
    </r>
  </si>
  <si>
    <t>N/A</t>
  </si>
  <si>
    <t>estimated total greenhouse gas emissions**** (lb per day)</t>
  </si>
  <si>
    <t>UGL</t>
  </si>
  <si>
    <t>2nd floor</t>
  </si>
  <si>
    <t>lbs. of CO2 equivalent emissions</t>
  </si>
  <si>
    <t>emission rate per Kwh in SRMW</t>
  </si>
  <si>
    <t>cost per gallon of water on campus in 2009</t>
  </si>
  <si>
    <t>cost per gallon of water on campus in 2008</t>
  </si>
  <si>
    <t>cost per gallon of water on campus in 2007</t>
  </si>
  <si>
    <t>average cost per gallon on campus 2007-2009</t>
  </si>
  <si>
    <t>total gallons of water use UGL building 2012</t>
  </si>
  <si>
    <t>total gallons of water use UGL building 2013</t>
  </si>
  <si>
    <t># of toilet Units</t>
  </si>
  <si>
    <t>Intervention</t>
  </si>
  <si>
    <t>Before</t>
  </si>
  <si>
    <t>After</t>
  </si>
  <si>
    <t>2nd floor (all units combined)</t>
  </si>
  <si>
    <t>1.6/1.1</t>
  </si>
  <si>
    <t>Non-Peak Hours (per day)***</t>
  </si>
  <si>
    <t>Peak Hours (per day)***</t>
  </si>
  <si>
    <t>Savings</t>
  </si>
  <si>
    <t>TOTAL TOILET CONSUMPTION</t>
  </si>
  <si>
    <t>Total Hours (peak and non-peak traffic) per day</t>
  </si>
  <si>
    <r>
      <t xml:space="preserve">*Estimates based on </t>
    </r>
    <r>
      <rPr>
        <sz val="12"/>
        <color theme="1"/>
        <rFont val="Calibri"/>
        <family val="2"/>
        <scheme val="minor"/>
      </rPr>
      <t>4/3 and 4/4</t>
    </r>
    <r>
      <rPr>
        <sz val="12"/>
        <color theme="1"/>
        <rFont val="Calibri"/>
        <family val="2"/>
        <scheme val="minor"/>
      </rPr>
      <t xml:space="preserve"> bathroom use results from 15 minute observations of </t>
    </r>
    <r>
      <rPr>
        <sz val="12"/>
        <color theme="1"/>
        <rFont val="Calibri"/>
        <family val="2"/>
        <scheme val="minor"/>
      </rPr>
      <t>traffic rates</t>
    </r>
    <r>
      <rPr>
        <sz val="12"/>
        <color theme="1"/>
        <rFont val="Calibri"/>
        <family val="2"/>
        <scheme val="minor"/>
      </rPr>
      <t xml:space="preserve"> for females and males </t>
    </r>
  </si>
  <si>
    <r>
      <t>****</t>
    </r>
    <r>
      <rPr>
        <sz val="12"/>
        <color theme="1"/>
        <rFont val="Calibri"/>
        <family val="2"/>
        <scheme val="minor"/>
      </rPr>
      <t>Carbon emissions based on SERC Midwest regional carbon equivalent emissions rate (US EPA)</t>
    </r>
  </si>
  <si>
    <r>
      <t>**</t>
    </r>
    <r>
      <rPr>
        <sz val="12"/>
        <color theme="1"/>
        <rFont val="Calibri"/>
        <family val="2"/>
        <scheme val="minor"/>
      </rPr>
      <t>Intervention e</t>
    </r>
    <r>
      <rPr>
        <sz val="12"/>
        <color theme="1"/>
        <rFont val="Calibri"/>
        <family val="2"/>
        <scheme val="minor"/>
      </rPr>
      <t>stimates represent</t>
    </r>
    <r>
      <rPr>
        <sz val="12"/>
        <color theme="1"/>
        <rFont val="Calibri"/>
        <family val="2"/>
        <scheme val="minor"/>
      </rPr>
      <t xml:space="preserve"> change from</t>
    </r>
    <r>
      <rPr>
        <sz val="12"/>
        <color theme="1"/>
        <rFont val="Calibri"/>
        <family val="2"/>
        <scheme val="minor"/>
      </rPr>
      <t xml:space="preserve"> single flush function </t>
    </r>
    <r>
      <rPr>
        <sz val="12"/>
        <color theme="1"/>
        <rFont val="Calibri"/>
        <family val="2"/>
        <scheme val="minor"/>
      </rPr>
      <t>(3.5 gpf) to</t>
    </r>
    <r>
      <rPr>
        <sz val="12"/>
        <color theme="1"/>
        <rFont val="Calibri"/>
        <family val="2"/>
        <scheme val="minor"/>
      </rPr>
      <t xml:space="preserve"> 1.6</t>
    </r>
    <r>
      <rPr>
        <sz val="12"/>
        <color theme="1"/>
        <rFont val="Calibri"/>
        <family val="2"/>
        <scheme val="minor"/>
      </rPr>
      <t>/1.1 gpf dual flush function; assumes both genders use each flush function 50%</t>
    </r>
  </si>
  <si>
    <t>1.6/1.1**</t>
  </si>
  <si>
    <t>Undergraduate Library Toilet Documentation and Estimated Usage*</t>
  </si>
  <si>
    <t>Undergraduate Library Urinal Documentation and Estimated Usage*</t>
  </si>
  <si>
    <t># of urinal Units</t>
  </si>
  <si>
    <t>***Assuming high traffic (students visiting library) hours are 8a-2a (18 hours) and low traffic hours are 2a-8a (6 hours) a day; non-peak traffic hours are assumed to have 25% volume that peak hours</t>
  </si>
  <si>
    <t>New Units (1.6/1.1 gpf)</t>
  </si>
  <si>
    <t>Existing Units (3.5gpf)</t>
  </si>
  <si>
    <t>Urinals in UGL</t>
  </si>
  <si>
    <t>Toilets in UGL</t>
  </si>
  <si>
    <t>Existing Units (1.0 gpf)</t>
  </si>
  <si>
    <t>New Units (0.5 gpf)</t>
  </si>
  <si>
    <t>reduce greenhouse gas emissions by 391,549.37 lbs.</t>
  </si>
  <si>
    <t># of individuals using per day</t>
  </si>
  <si>
    <t>6,581,224.07 gallons</t>
  </si>
  <si>
    <t>reduce consumption by 4,042,803.85 gals (61.4%)</t>
  </si>
  <si>
    <t>save $6,146.46 in utility costs</t>
  </si>
  <si>
    <r>
      <t>53,116.48 lbs CO</t>
    </r>
    <r>
      <rPr>
        <vertAlign val="subscript"/>
        <sz val="10"/>
        <color rgb="FF000000"/>
        <rFont val="Calibri"/>
        <family val="2"/>
        <scheme val="minor"/>
      </rPr>
      <t>2</t>
    </r>
    <r>
      <rPr>
        <sz val="10"/>
        <color rgb="FF000000"/>
        <rFont val="Calibri"/>
        <family val="2"/>
        <scheme val="minor"/>
      </rPr>
      <t>-equivalent greenhouse gases</t>
    </r>
  </si>
  <si>
    <t>20,487.37 lbs. CO2-equivalent greenhouse gases</t>
  </si>
  <si>
    <t>480,760.31 gallons</t>
  </si>
  <si>
    <t>240,380.16 gallons</t>
  </si>
  <si>
    <t>reduce consumption by 240,380.16 gals (50%)</t>
  </si>
  <si>
    <t>save $365.46 in utility costs</t>
  </si>
  <si>
    <r>
      <t>3,880.17 lbs. CO</t>
    </r>
    <r>
      <rPr>
        <vertAlign val="subscript"/>
        <sz val="10"/>
        <color rgb="FF000000"/>
        <rFont val="Calibri"/>
        <family val="2"/>
        <scheme val="minor"/>
      </rPr>
      <t>2</t>
    </r>
    <r>
      <rPr>
        <sz val="10"/>
        <color rgb="FF000000"/>
        <rFont val="Calibri"/>
        <family val="2"/>
        <scheme val="minor"/>
      </rPr>
      <t>-equivalent greenhouse gases</t>
    </r>
  </si>
  <si>
    <t>1,940.09 lbs. CO2-equivalent greenhouse gases</t>
  </si>
  <si>
    <t>reduce greenhouse gas emissions by 1,940.09 lbs.</t>
  </si>
  <si>
    <t>2.64 years</t>
  </si>
  <si>
    <t>0.69 years</t>
  </si>
  <si>
    <t>TOTAL URINAL CONSUMPTION</t>
  </si>
  <si>
    <r>
      <t>****</t>
    </r>
    <r>
      <rPr>
        <sz val="12"/>
        <color theme="1"/>
        <rFont val="Calibri"/>
        <family val="2"/>
        <scheme val="minor"/>
      </rPr>
      <t>Carbon emissions based on SERC Midwest regional carbon equivalent emissions rate (US EPA, attached document)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</si>
</sst>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&quot;$&quot;#,##0.000000000;[Red]\-&quot;$&quot;#,##0.0000000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1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vertAlign val="subscript"/>
      <sz val="10"/>
      <color rgb="FF000000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15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5">
    <xf numFmtId="0" fontId="0" fillId="0" borderId="0" xfId="0"/>
    <xf numFmtId="0" fontId="4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8" fontId="9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9" xfId="0" applyBorder="1" applyAlignment="1"/>
    <xf numFmtId="0" fontId="0" fillId="0" borderId="0" xfId="0" applyAlignment="1">
      <alignment horizontal="left"/>
    </xf>
    <xf numFmtId="2" fontId="9" fillId="0" borderId="1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65" fontId="0" fillId="0" borderId="0" xfId="0" applyNumberFormat="1"/>
    <xf numFmtId="165" fontId="14" fillId="0" borderId="0" xfId="0" applyNumberFormat="1" applyFont="1"/>
    <xf numFmtId="0" fontId="0" fillId="0" borderId="0" xfId="0" applyNumberFormat="1"/>
    <xf numFmtId="0" fontId="3" fillId="0" borderId="16" xfId="0" applyFont="1" applyBorder="1" applyAlignment="1">
      <alignment wrapText="1"/>
    </xf>
    <xf numFmtId="0" fontId="3" fillId="6" borderId="16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0" fillId="4" borderId="0" xfId="0" applyFill="1" applyBorder="1"/>
    <xf numFmtId="0" fontId="7" fillId="4" borderId="0" xfId="0" applyFont="1" applyFill="1" applyBorder="1"/>
    <xf numFmtId="0" fontId="0" fillId="3" borderId="0" xfId="0" applyFill="1" applyBorder="1"/>
    <xf numFmtId="0" fontId="7" fillId="3" borderId="0" xfId="0" applyFont="1" applyFill="1" applyBorder="1"/>
    <xf numFmtId="0" fontId="3" fillId="0" borderId="0" xfId="0" applyFont="1" applyBorder="1"/>
    <xf numFmtId="0" fontId="0" fillId="0" borderId="0" xfId="0" applyFont="1" applyFill="1" applyBorder="1"/>
    <xf numFmtId="0" fontId="3" fillId="2" borderId="0" xfId="0" applyFont="1" applyFill="1" applyBorder="1"/>
    <xf numFmtId="0" fontId="3" fillId="0" borderId="4" xfId="0" applyFont="1" applyFill="1" applyBorder="1"/>
    <xf numFmtId="0" fontId="0" fillId="0" borderId="4" xfId="0" applyFill="1" applyBorder="1"/>
    <xf numFmtId="0" fontId="0" fillId="0" borderId="4" xfId="0" applyBorder="1"/>
    <xf numFmtId="0" fontId="3" fillId="0" borderId="0" xfId="0" applyFont="1" applyFill="1" applyBorder="1"/>
    <xf numFmtId="0" fontId="3" fillId="0" borderId="0" xfId="0" applyFont="1" applyBorder="1" applyAlignment="1">
      <alignment wrapText="1"/>
    </xf>
    <xf numFmtId="0" fontId="3" fillId="6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6" borderId="16" xfId="0" applyFill="1" applyBorder="1"/>
    <xf numFmtId="0" fontId="0" fillId="0" borderId="16" xfId="0" applyBorder="1"/>
    <xf numFmtId="4" fontId="9" fillId="0" borderId="4" xfId="0" applyNumberFormat="1" applyFont="1" applyBorder="1" applyAlignment="1">
      <alignment horizontal="center" vertical="center"/>
    </xf>
    <xf numFmtId="0" fontId="0" fillId="5" borderId="4" xfId="0" applyFont="1" applyFill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64" fontId="12" fillId="0" borderId="14" xfId="0" applyNumberFormat="1" applyFont="1" applyBorder="1" applyAlignment="1">
      <alignment horizontal="center" vertical="center"/>
    </xf>
    <xf numFmtId="164" fontId="12" fillId="0" borderId="15" xfId="0" applyNumberFormat="1" applyFont="1" applyBorder="1" applyAlignment="1">
      <alignment horizontal="center" vertical="center"/>
    </xf>
    <xf numFmtId="2" fontId="12" fillId="0" borderId="10" xfId="0" applyNumberFormat="1" applyFont="1" applyBorder="1" applyAlignment="1">
      <alignment horizontal="center" vertical="center"/>
    </xf>
    <xf numFmtId="2" fontId="12" fillId="0" borderId="16" xfId="0" applyNumberFormat="1" applyFon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150" zoomScaleNormal="150" zoomScalePageLayoutView="150" workbookViewId="0">
      <selection activeCell="H19" sqref="H19"/>
    </sheetView>
  </sheetViews>
  <sheetFormatPr baseColWidth="10" defaultColWidth="8.83203125" defaultRowHeight="14" x14ac:dyDescent="0"/>
  <cols>
    <col min="1" max="1" width="16.33203125" customWidth="1"/>
    <col min="2" max="2" width="13" bestFit="1" customWidth="1"/>
    <col min="3" max="3" width="26" bestFit="1" customWidth="1"/>
    <col min="4" max="4" width="28" customWidth="1"/>
    <col min="5" max="5" width="21.1640625" customWidth="1"/>
    <col min="6" max="6" width="15.6640625" customWidth="1"/>
    <col min="7" max="11" width="17.6640625" customWidth="1"/>
    <col min="12" max="14" width="17.33203125" customWidth="1"/>
  </cols>
  <sheetData>
    <row r="1" spans="1:14" ht="60" customHeight="1" thickBot="1">
      <c r="A1" s="1" t="s">
        <v>41</v>
      </c>
    </row>
    <row r="2" spans="1:14" s="19" customFormat="1" ht="110" customHeight="1">
      <c r="A2" s="17" t="s">
        <v>27</v>
      </c>
      <c r="B2" s="17" t="s">
        <v>0</v>
      </c>
      <c r="C2" s="17" t="s">
        <v>1</v>
      </c>
      <c r="D2" s="17" t="s">
        <v>26</v>
      </c>
      <c r="E2" s="17" t="s">
        <v>2</v>
      </c>
      <c r="F2" s="17" t="s">
        <v>33</v>
      </c>
      <c r="G2" s="18" t="s">
        <v>52</v>
      </c>
      <c r="H2" s="18" t="s">
        <v>6</v>
      </c>
      <c r="I2" s="18" t="s">
        <v>7</v>
      </c>
      <c r="J2" s="18" t="s">
        <v>3</v>
      </c>
      <c r="K2" s="18" t="s">
        <v>4</v>
      </c>
      <c r="L2" s="18" t="s">
        <v>15</v>
      </c>
      <c r="M2" s="18" t="s">
        <v>5</v>
      </c>
      <c r="N2" s="17"/>
    </row>
    <row r="3" spans="1:14" s="21" customFormat="1" ht="15">
      <c r="A3" s="20" t="s">
        <v>28</v>
      </c>
      <c r="B3" s="21" t="s">
        <v>16</v>
      </c>
      <c r="C3" s="21" t="s">
        <v>30</v>
      </c>
      <c r="D3" s="21">
        <v>12</v>
      </c>
      <c r="E3" s="21">
        <v>3.5</v>
      </c>
      <c r="F3" s="21">
        <v>18</v>
      </c>
      <c r="G3" s="22">
        <f>14.667*F3</f>
        <v>264.00599999999997</v>
      </c>
      <c r="H3" s="23">
        <f>G3*E3*F3</f>
        <v>16632.378000000001</v>
      </c>
      <c r="I3" s="22">
        <f>H3*365.25</f>
        <v>6074976.0645000003</v>
      </c>
      <c r="J3" s="22">
        <f>H3*0.001520346</f>
        <v>25.286969362788</v>
      </c>
      <c r="K3" s="22">
        <f t="shared" ref="K3" si="0">J3*365.25</f>
        <v>9236.0655597583172</v>
      </c>
      <c r="L3" s="22">
        <f>H3*0.008070912</f>
        <v>134.23845918873599</v>
      </c>
      <c r="M3" s="22">
        <f t="shared" ref="M3" si="1">L3*365.25</f>
        <v>49030.59721868582</v>
      </c>
    </row>
    <row r="4" spans="1:14" s="21" customFormat="1" ht="15">
      <c r="A4" s="20" t="s">
        <v>29</v>
      </c>
      <c r="B4" s="21" t="s">
        <v>16</v>
      </c>
      <c r="C4" s="21" t="s">
        <v>17</v>
      </c>
      <c r="D4" s="21">
        <v>12</v>
      </c>
      <c r="E4" s="21" t="s">
        <v>40</v>
      </c>
      <c r="F4" s="21">
        <v>18</v>
      </c>
      <c r="G4" s="24">
        <f>14.6667*F4</f>
        <v>264.00060000000002</v>
      </c>
      <c r="H4" s="25">
        <f>((1.6*G4*0.5*F4)+(1.1*G4*0.5*F4))</f>
        <v>6415.2145800000017</v>
      </c>
      <c r="I4" s="24">
        <f>H4*365.25</f>
        <v>2343157.1253450005</v>
      </c>
      <c r="J4" s="24">
        <f>H4*0.001520346</f>
        <v>9.753345825844681</v>
      </c>
      <c r="K4" s="24">
        <f t="shared" ref="K4" si="2">J4*365.25</f>
        <v>3562.4095628897699</v>
      </c>
      <c r="L4" s="24">
        <f>H4*0.008070912</f>
        <v>51.77663233629697</v>
      </c>
      <c r="M4" s="24">
        <f t="shared" ref="M4" si="3">L4*365.25</f>
        <v>18911.41496083247</v>
      </c>
    </row>
    <row r="5" spans="1:14" s="21" customFormat="1">
      <c r="A5" s="26" t="s">
        <v>34</v>
      </c>
      <c r="G5" s="27" t="s">
        <v>14</v>
      </c>
      <c r="H5" s="28">
        <f>H3-H4</f>
        <v>10217.163419999999</v>
      </c>
      <c r="I5" s="28">
        <f t="shared" ref="I5:M5" si="4">I3-I4</f>
        <v>3731818.9391549998</v>
      </c>
      <c r="J5" s="28">
        <f t="shared" si="4"/>
        <v>15.533623536943319</v>
      </c>
      <c r="K5" s="28">
        <f t="shared" si="4"/>
        <v>5673.6559968685469</v>
      </c>
      <c r="L5" s="28">
        <f t="shared" si="4"/>
        <v>82.461826852439017</v>
      </c>
      <c r="M5" s="28">
        <f t="shared" si="4"/>
        <v>30119.18225785335</v>
      </c>
    </row>
    <row r="6" spans="1:14" s="31" customFormat="1" ht="15" thickBot="1">
      <c r="A6" s="39" t="s">
        <v>8</v>
      </c>
      <c r="B6" s="39"/>
      <c r="C6" s="39"/>
      <c r="D6" s="39"/>
      <c r="E6" s="39"/>
      <c r="F6" s="39"/>
      <c r="G6" s="29"/>
      <c r="H6" s="29"/>
      <c r="I6" s="29"/>
      <c r="J6" s="29"/>
      <c r="K6" s="29"/>
      <c r="L6" s="29"/>
      <c r="M6" s="30"/>
      <c r="N6" s="29"/>
    </row>
    <row r="7" spans="1:14" ht="15" thickBot="1">
      <c r="A7" s="42"/>
      <c r="B7" s="42"/>
      <c r="C7" s="42"/>
      <c r="D7" s="42"/>
      <c r="E7" s="42"/>
      <c r="F7" s="42"/>
      <c r="G7" s="42"/>
      <c r="H7" s="42"/>
      <c r="I7" s="42"/>
      <c r="J7" s="10"/>
    </row>
    <row r="8" spans="1:14" s="19" customFormat="1" ht="110" customHeight="1">
      <c r="A8" s="17" t="s">
        <v>27</v>
      </c>
      <c r="B8" s="17" t="s">
        <v>0</v>
      </c>
      <c r="C8" s="17" t="s">
        <v>1</v>
      </c>
      <c r="D8" s="17" t="s">
        <v>26</v>
      </c>
      <c r="E8" s="17" t="s">
        <v>2</v>
      </c>
      <c r="F8" s="17" t="s">
        <v>32</v>
      </c>
      <c r="G8" s="18" t="s">
        <v>52</v>
      </c>
      <c r="H8" s="18" t="s">
        <v>6</v>
      </c>
      <c r="I8" s="18" t="s">
        <v>7</v>
      </c>
      <c r="J8" s="18" t="s">
        <v>3</v>
      </c>
      <c r="K8" s="18" t="s">
        <v>4</v>
      </c>
      <c r="L8" s="18" t="s">
        <v>15</v>
      </c>
      <c r="M8" s="18" t="s">
        <v>5</v>
      </c>
      <c r="N8" s="17"/>
    </row>
    <row r="9" spans="1:14" s="21" customFormat="1" ht="15">
      <c r="A9" s="20" t="s">
        <v>28</v>
      </c>
      <c r="B9" s="21" t="s">
        <v>16</v>
      </c>
      <c r="C9" s="21" t="s">
        <v>30</v>
      </c>
      <c r="D9" s="21">
        <v>12</v>
      </c>
      <c r="E9" s="21">
        <v>3.5</v>
      </c>
      <c r="F9" s="21">
        <v>6</v>
      </c>
      <c r="G9" s="22">
        <f>0.25*G3</f>
        <v>66.001499999999993</v>
      </c>
      <c r="H9" s="23">
        <f>G9*E9*F9</f>
        <v>1386.0315000000001</v>
      </c>
      <c r="I9" s="22">
        <f>H9*365.25</f>
        <v>506248.00537500001</v>
      </c>
      <c r="J9" s="22">
        <f>H9*0.001520346</f>
        <v>2.1072474468990001</v>
      </c>
      <c r="K9" s="22">
        <f t="shared" ref="K9:K10" si="5">J9*365.25</f>
        <v>769.67212997985985</v>
      </c>
      <c r="L9" s="22">
        <f>H9*0.008070912</f>
        <v>11.186538265728</v>
      </c>
      <c r="M9" s="22">
        <f t="shared" ref="M9:M10" si="6">L9*365.25</f>
        <v>4085.8831015571523</v>
      </c>
    </row>
    <row r="10" spans="1:14" s="21" customFormat="1" ht="15">
      <c r="A10" s="20" t="s">
        <v>29</v>
      </c>
      <c r="B10" s="21" t="s">
        <v>16</v>
      </c>
      <c r="C10" s="21" t="s">
        <v>17</v>
      </c>
      <c r="D10" s="21">
        <v>12</v>
      </c>
      <c r="E10" s="21" t="s">
        <v>31</v>
      </c>
      <c r="F10" s="21">
        <v>6</v>
      </c>
      <c r="G10" s="24">
        <f>0.25*G4</f>
        <v>66.000150000000005</v>
      </c>
      <c r="H10" s="25">
        <f>((1.6*G10*0.5*F10)+(1.1*G10*0.5*F10))</f>
        <v>534.60121500000014</v>
      </c>
      <c r="I10" s="24">
        <f>H10*365.25</f>
        <v>195263.09377875004</v>
      </c>
      <c r="J10" s="24">
        <f>H10*0.001520346</f>
        <v>0.81277881882039016</v>
      </c>
      <c r="K10" s="24">
        <f t="shared" si="5"/>
        <v>296.86746357414751</v>
      </c>
      <c r="L10" s="24">
        <f>H10*0.008070912</f>
        <v>4.3147193613580805</v>
      </c>
      <c r="M10" s="24">
        <f t="shared" si="6"/>
        <v>1575.9512467360389</v>
      </c>
    </row>
    <row r="11" spans="1:14" s="21" customFormat="1">
      <c r="A11" s="26" t="s">
        <v>34</v>
      </c>
      <c r="G11" s="27" t="s">
        <v>14</v>
      </c>
      <c r="H11" s="28">
        <f>H9-H10</f>
        <v>851.43028499999991</v>
      </c>
      <c r="I11" s="28">
        <f t="shared" ref="I11:M11" si="7">I9-I10</f>
        <v>310984.91159624996</v>
      </c>
      <c r="J11" s="28">
        <f t="shared" si="7"/>
        <v>1.29446862807861</v>
      </c>
      <c r="K11" s="28">
        <f t="shared" si="7"/>
        <v>472.80466640571234</v>
      </c>
      <c r="L11" s="28">
        <f t="shared" si="7"/>
        <v>6.8718189043699196</v>
      </c>
      <c r="M11" s="28">
        <f t="shared" si="7"/>
        <v>2509.9318548211131</v>
      </c>
      <c r="N11" s="32"/>
    </row>
    <row r="12" spans="1:14" s="31" customFormat="1" ht="15" thickBot="1">
      <c r="A12" s="39" t="s">
        <v>8</v>
      </c>
      <c r="B12" s="39"/>
      <c r="C12" s="39"/>
      <c r="D12" s="39"/>
      <c r="E12" s="39"/>
      <c r="F12" s="39"/>
    </row>
    <row r="13" spans="1:14" ht="15" thickBot="1"/>
    <row r="14" spans="1:14" s="37" customFormat="1">
      <c r="A14" s="40" t="s">
        <v>35</v>
      </c>
      <c r="B14" s="40"/>
      <c r="C14" s="40"/>
      <c r="D14" s="40"/>
      <c r="E14" s="40"/>
      <c r="F14" s="40"/>
      <c r="G14" s="36"/>
      <c r="H14" s="36"/>
      <c r="I14" s="36"/>
      <c r="J14" s="36"/>
      <c r="K14" s="36"/>
      <c r="L14" s="36"/>
      <c r="M14" s="36"/>
    </row>
    <row r="15" spans="1:14" s="35" customFormat="1" ht="110" customHeight="1">
      <c r="A15" s="33" t="s">
        <v>27</v>
      </c>
      <c r="B15" s="33" t="s">
        <v>0</v>
      </c>
      <c r="C15" s="33" t="s">
        <v>1</v>
      </c>
      <c r="D15" s="33" t="s">
        <v>26</v>
      </c>
      <c r="E15" s="33" t="s">
        <v>2</v>
      </c>
      <c r="F15" s="33" t="s">
        <v>36</v>
      </c>
      <c r="G15" s="34" t="s">
        <v>52</v>
      </c>
      <c r="H15" s="34" t="s">
        <v>6</v>
      </c>
      <c r="I15" s="34" t="s">
        <v>7</v>
      </c>
      <c r="J15" s="34" t="s">
        <v>3</v>
      </c>
      <c r="K15" s="34" t="s">
        <v>4</v>
      </c>
      <c r="L15" s="34" t="s">
        <v>15</v>
      </c>
      <c r="M15" s="34" t="s">
        <v>5</v>
      </c>
      <c r="N15" s="33"/>
    </row>
    <row r="16" spans="1:14" s="21" customFormat="1" ht="15">
      <c r="A16" s="20" t="s">
        <v>28</v>
      </c>
      <c r="B16" s="21" t="s">
        <v>16</v>
      </c>
      <c r="C16" s="21" t="s">
        <v>30</v>
      </c>
      <c r="D16" s="21">
        <v>12</v>
      </c>
      <c r="E16" s="21">
        <v>3.5</v>
      </c>
      <c r="F16" s="21">
        <v>24</v>
      </c>
      <c r="G16" s="22">
        <f t="shared" ref="G16:M17" si="8">G3+G9</f>
        <v>330.00749999999994</v>
      </c>
      <c r="H16" s="22">
        <f t="shared" si="8"/>
        <v>18018.409500000002</v>
      </c>
      <c r="I16" s="22">
        <f t="shared" si="8"/>
        <v>6581224.069875</v>
      </c>
      <c r="J16" s="22">
        <f t="shared" si="8"/>
        <v>27.394216809686998</v>
      </c>
      <c r="K16" s="22">
        <f t="shared" si="8"/>
        <v>10005.737689738176</v>
      </c>
      <c r="L16" s="22">
        <f t="shared" si="8"/>
        <v>145.42499745446398</v>
      </c>
      <c r="M16" s="22">
        <f t="shared" si="8"/>
        <v>53116.480320242976</v>
      </c>
    </row>
    <row r="17" spans="1:14" s="21" customFormat="1" ht="15">
      <c r="A17" s="20" t="s">
        <v>29</v>
      </c>
      <c r="B17" s="21" t="s">
        <v>16</v>
      </c>
      <c r="C17" s="21" t="s">
        <v>17</v>
      </c>
      <c r="D17" s="21">
        <v>12</v>
      </c>
      <c r="E17" s="21" t="s">
        <v>31</v>
      </c>
      <c r="F17" s="21">
        <v>24</v>
      </c>
      <c r="G17" s="24">
        <f t="shared" si="8"/>
        <v>330.00075000000004</v>
      </c>
      <c r="H17" s="24">
        <f t="shared" si="8"/>
        <v>6949.8157950000023</v>
      </c>
      <c r="I17" s="24">
        <f t="shared" si="8"/>
        <v>2538420.2191237505</v>
      </c>
      <c r="J17" s="24">
        <f t="shared" si="8"/>
        <v>10.566124644665072</v>
      </c>
      <c r="K17" s="24">
        <f t="shared" si="8"/>
        <v>3859.2770264639175</v>
      </c>
      <c r="L17" s="24">
        <f t="shared" si="8"/>
        <v>56.09135169765505</v>
      </c>
      <c r="M17" s="24">
        <f t="shared" si="8"/>
        <v>20487.36620756851</v>
      </c>
    </row>
    <row r="18" spans="1:14" s="21" customFormat="1">
      <c r="A18" s="26" t="s">
        <v>34</v>
      </c>
      <c r="G18" s="27" t="s">
        <v>14</v>
      </c>
      <c r="H18" s="28">
        <f>H16-H17</f>
        <v>11068.593704999999</v>
      </c>
      <c r="I18" s="28">
        <f t="shared" ref="I18" si="9">I16-I17</f>
        <v>4042803.8507512496</v>
      </c>
      <c r="J18" s="28">
        <f t="shared" ref="J18" si="10">J16-J17</f>
        <v>16.828092165021928</v>
      </c>
      <c r="K18" s="28">
        <f t="shared" ref="K18" si="11">K16-K17</f>
        <v>6146.4606632742589</v>
      </c>
      <c r="L18" s="28">
        <f t="shared" ref="L18" si="12">L16-L17</f>
        <v>89.33364575680892</v>
      </c>
      <c r="M18" s="28">
        <f t="shared" ref="M18" si="13">M16-M17</f>
        <v>32629.114112674466</v>
      </c>
      <c r="N18" s="32"/>
    </row>
    <row r="19" spans="1:14" s="31" customFormat="1" ht="15" thickBot="1">
      <c r="A19" s="39" t="s">
        <v>8</v>
      </c>
      <c r="B19" s="39"/>
      <c r="C19" s="39"/>
      <c r="D19" s="39"/>
      <c r="E19" s="39"/>
      <c r="F19" s="39"/>
    </row>
    <row r="21" spans="1:14" ht="15" customHeight="1">
      <c r="A21" s="41" t="s">
        <v>37</v>
      </c>
      <c r="B21" s="41"/>
      <c r="C21" s="41"/>
      <c r="D21" s="41"/>
      <c r="E21" s="41"/>
      <c r="F21" s="41"/>
    </row>
    <row r="22" spans="1:14" ht="30" customHeight="1">
      <c r="A22" s="41" t="s">
        <v>39</v>
      </c>
      <c r="B22" s="41"/>
      <c r="C22" s="41"/>
      <c r="D22" s="41"/>
      <c r="E22" s="41"/>
      <c r="F22" s="41"/>
    </row>
    <row r="23" spans="1:14" ht="33" customHeight="1">
      <c r="A23" s="41" t="s">
        <v>44</v>
      </c>
      <c r="B23" s="41"/>
      <c r="C23" s="41"/>
      <c r="D23" s="41"/>
      <c r="E23" s="41"/>
      <c r="F23" s="41"/>
    </row>
    <row r="24" spans="1:14" ht="15" customHeight="1">
      <c r="A24" s="41" t="s">
        <v>38</v>
      </c>
      <c r="B24" s="41"/>
      <c r="C24" s="41"/>
      <c r="D24" s="41"/>
      <c r="E24" s="41"/>
      <c r="F24" s="41"/>
    </row>
  </sheetData>
  <mergeCells count="9">
    <mergeCell ref="A7:I7"/>
    <mergeCell ref="A6:F6"/>
    <mergeCell ref="A23:F23"/>
    <mergeCell ref="A24:F24"/>
    <mergeCell ref="A12:F12"/>
    <mergeCell ref="A19:F19"/>
    <mergeCell ref="A14:F14"/>
    <mergeCell ref="A21:F21"/>
    <mergeCell ref="A22:F22"/>
  </mergeCells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8" workbookViewId="0">
      <selection activeCell="A25" sqref="A25"/>
    </sheetView>
  </sheetViews>
  <sheetFormatPr baseColWidth="10" defaultColWidth="8.83203125" defaultRowHeight="14" x14ac:dyDescent="0"/>
  <cols>
    <col min="1" max="1" width="16.33203125" customWidth="1"/>
    <col min="2" max="2" width="13" bestFit="1" customWidth="1"/>
    <col min="3" max="3" width="26" bestFit="1" customWidth="1"/>
    <col min="4" max="4" width="28" customWidth="1"/>
    <col min="5" max="5" width="21.1640625" customWidth="1"/>
    <col min="6" max="6" width="15.6640625" customWidth="1"/>
    <col min="7" max="11" width="17.6640625" customWidth="1"/>
    <col min="12" max="14" width="17.33203125" customWidth="1"/>
  </cols>
  <sheetData>
    <row r="1" spans="1:14" ht="60" customHeight="1" thickBot="1">
      <c r="A1" s="1" t="s">
        <v>42</v>
      </c>
    </row>
    <row r="2" spans="1:14" s="19" customFormat="1" ht="110" customHeight="1">
      <c r="A2" s="17" t="s">
        <v>27</v>
      </c>
      <c r="B2" s="17" t="s">
        <v>0</v>
      </c>
      <c r="C2" s="17" t="s">
        <v>1</v>
      </c>
      <c r="D2" s="17" t="s">
        <v>43</v>
      </c>
      <c r="E2" s="17" t="s">
        <v>2</v>
      </c>
      <c r="F2" s="17" t="s">
        <v>33</v>
      </c>
      <c r="G2" s="18" t="s">
        <v>52</v>
      </c>
      <c r="H2" s="18" t="s">
        <v>6</v>
      </c>
      <c r="I2" s="18" t="s">
        <v>7</v>
      </c>
      <c r="J2" s="18" t="s">
        <v>3</v>
      </c>
      <c r="K2" s="18" t="s">
        <v>4</v>
      </c>
      <c r="L2" s="18" t="s">
        <v>15</v>
      </c>
      <c r="M2" s="18" t="s">
        <v>5</v>
      </c>
      <c r="N2" s="17"/>
    </row>
    <row r="3" spans="1:14" s="21" customFormat="1" ht="15">
      <c r="A3" s="20" t="s">
        <v>28</v>
      </c>
      <c r="B3" s="21" t="s">
        <v>16</v>
      </c>
      <c r="C3" s="21" t="s">
        <v>30</v>
      </c>
      <c r="D3" s="21">
        <v>4</v>
      </c>
      <c r="E3" s="21">
        <v>1</v>
      </c>
      <c r="F3" s="21">
        <v>18</v>
      </c>
      <c r="G3" s="22">
        <f>3.75*F3</f>
        <v>67.5</v>
      </c>
      <c r="H3" s="23">
        <f>G3*E3*F3</f>
        <v>1215</v>
      </c>
      <c r="I3" s="22">
        <f>H3*365.25</f>
        <v>443778.75</v>
      </c>
      <c r="J3" s="22">
        <f>H3*0.001520346</f>
        <v>1.8472203899999999</v>
      </c>
      <c r="K3" s="22">
        <f t="shared" ref="K3:K4" si="0">J3*365.25</f>
        <v>674.69724744749999</v>
      </c>
      <c r="L3" s="22">
        <f>H3*0.008070912</f>
        <v>9.8061580799999994</v>
      </c>
      <c r="M3" s="22">
        <f t="shared" ref="M3:M4" si="1">L3*365.25</f>
        <v>3581.6992387199998</v>
      </c>
    </row>
    <row r="4" spans="1:14" s="21" customFormat="1" ht="15">
      <c r="A4" s="20" t="s">
        <v>29</v>
      </c>
      <c r="B4" s="21" t="s">
        <v>16</v>
      </c>
      <c r="C4" s="21" t="s">
        <v>17</v>
      </c>
      <c r="D4" s="21">
        <v>4</v>
      </c>
      <c r="E4" s="21">
        <v>0.5</v>
      </c>
      <c r="F4" s="21">
        <v>18</v>
      </c>
      <c r="G4" s="24">
        <f>3.75*F4</f>
        <v>67.5</v>
      </c>
      <c r="H4" s="25">
        <f>G4*F4*E4</f>
        <v>607.5</v>
      </c>
      <c r="I4" s="24">
        <f>H4*365.25</f>
        <v>221889.375</v>
      </c>
      <c r="J4" s="24">
        <f>H4*0.001520346</f>
        <v>0.92361019499999997</v>
      </c>
      <c r="K4" s="24">
        <f t="shared" si="0"/>
        <v>337.34862372374999</v>
      </c>
      <c r="L4" s="24">
        <f>H4*0.008070912</f>
        <v>4.9030790399999997</v>
      </c>
      <c r="M4" s="24">
        <f t="shared" si="1"/>
        <v>1790.8496193599999</v>
      </c>
    </row>
    <row r="5" spans="1:14" s="21" customFormat="1">
      <c r="A5" s="26" t="s">
        <v>34</v>
      </c>
      <c r="G5" s="27" t="s">
        <v>14</v>
      </c>
      <c r="H5" s="28">
        <f>H3-H4</f>
        <v>607.5</v>
      </c>
      <c r="I5" s="28">
        <f t="shared" ref="I5:M5" si="2">I3-I4</f>
        <v>221889.375</v>
      </c>
      <c r="J5" s="28">
        <f t="shared" si="2"/>
        <v>0.92361019499999997</v>
      </c>
      <c r="K5" s="28">
        <f t="shared" si="2"/>
        <v>337.34862372374999</v>
      </c>
      <c r="L5" s="28">
        <f t="shared" si="2"/>
        <v>4.9030790399999997</v>
      </c>
      <c r="M5" s="28">
        <f t="shared" si="2"/>
        <v>1790.8496193599999</v>
      </c>
    </row>
    <row r="6" spans="1:14" s="31" customFormat="1" ht="15" thickBot="1">
      <c r="A6" s="39" t="s">
        <v>8</v>
      </c>
      <c r="B6" s="39"/>
      <c r="C6" s="39"/>
      <c r="D6" s="39"/>
      <c r="E6" s="39"/>
      <c r="F6" s="39"/>
      <c r="G6" s="29"/>
      <c r="H6" s="29"/>
      <c r="I6" s="29"/>
      <c r="J6" s="29"/>
      <c r="K6" s="29"/>
      <c r="L6" s="29"/>
      <c r="M6" s="30"/>
      <c r="N6" s="29"/>
    </row>
    <row r="7" spans="1:14" ht="15" thickBot="1">
      <c r="A7" s="42"/>
      <c r="B7" s="42"/>
      <c r="C7" s="42"/>
      <c r="D7" s="42"/>
      <c r="E7" s="42"/>
      <c r="F7" s="42"/>
      <c r="G7" s="42"/>
      <c r="H7" s="42"/>
      <c r="I7" s="42"/>
      <c r="J7" s="13"/>
    </row>
    <row r="8" spans="1:14" s="19" customFormat="1" ht="110" customHeight="1">
      <c r="A8" s="17" t="s">
        <v>27</v>
      </c>
      <c r="B8" s="17" t="s">
        <v>0</v>
      </c>
      <c r="C8" s="17" t="s">
        <v>1</v>
      </c>
      <c r="D8" s="17" t="s">
        <v>26</v>
      </c>
      <c r="E8" s="17" t="s">
        <v>2</v>
      </c>
      <c r="F8" s="17" t="s">
        <v>32</v>
      </c>
      <c r="G8" s="18" t="s">
        <v>52</v>
      </c>
      <c r="H8" s="18" t="s">
        <v>6</v>
      </c>
      <c r="I8" s="18" t="s">
        <v>7</v>
      </c>
      <c r="J8" s="18" t="s">
        <v>3</v>
      </c>
      <c r="K8" s="18" t="s">
        <v>4</v>
      </c>
      <c r="L8" s="18" t="s">
        <v>15</v>
      </c>
      <c r="M8" s="18" t="s">
        <v>5</v>
      </c>
      <c r="N8" s="17"/>
    </row>
    <row r="9" spans="1:14" s="21" customFormat="1" ht="15">
      <c r="A9" s="20" t="s">
        <v>28</v>
      </c>
      <c r="B9" s="21" t="s">
        <v>16</v>
      </c>
      <c r="C9" s="21" t="s">
        <v>30</v>
      </c>
      <c r="D9" s="21">
        <v>4</v>
      </c>
      <c r="E9" s="21">
        <v>1</v>
      </c>
      <c r="F9" s="21">
        <v>6</v>
      </c>
      <c r="G9" s="22">
        <f>0.25*G3</f>
        <v>16.875</v>
      </c>
      <c r="H9" s="23">
        <f>G9*E9*F9</f>
        <v>101.25</v>
      </c>
      <c r="I9" s="22">
        <f>H9*365.25</f>
        <v>36981.5625</v>
      </c>
      <c r="J9" s="22">
        <f>H9*0.001520346</f>
        <v>0.15393503249999999</v>
      </c>
      <c r="K9" s="22">
        <f t="shared" ref="K9:K10" si="3">J9*365.25</f>
        <v>56.224770620624994</v>
      </c>
      <c r="L9" s="22">
        <f>H9*0.008070912</f>
        <v>0.81717983999999999</v>
      </c>
      <c r="M9" s="22">
        <f t="shared" ref="M9:M10" si="4">L9*365.25</f>
        <v>298.47493656</v>
      </c>
    </row>
    <row r="10" spans="1:14" s="21" customFormat="1" ht="15">
      <c r="A10" s="20" t="s">
        <v>29</v>
      </c>
      <c r="B10" s="21" t="s">
        <v>16</v>
      </c>
      <c r="C10" s="21" t="s">
        <v>17</v>
      </c>
      <c r="D10" s="21">
        <v>4</v>
      </c>
      <c r="E10" s="21">
        <v>0.5</v>
      </c>
      <c r="F10" s="21">
        <v>6</v>
      </c>
      <c r="G10" s="24">
        <f>0.25*G4</f>
        <v>16.875</v>
      </c>
      <c r="H10" s="25">
        <f>G10*F10*E10</f>
        <v>50.625</v>
      </c>
      <c r="I10" s="24">
        <f>H10*365.25</f>
        <v>18490.78125</v>
      </c>
      <c r="J10" s="24">
        <f>H10*0.001520346</f>
        <v>7.6967516249999993E-2</v>
      </c>
      <c r="K10" s="24">
        <f t="shared" si="3"/>
        <v>28.112385310312497</v>
      </c>
      <c r="L10" s="24">
        <f>H10*0.008070912</f>
        <v>0.40858992</v>
      </c>
      <c r="M10" s="24">
        <f t="shared" si="4"/>
        <v>149.23746828</v>
      </c>
    </row>
    <row r="11" spans="1:14" s="21" customFormat="1">
      <c r="A11" s="26" t="s">
        <v>34</v>
      </c>
      <c r="G11" s="27" t="s">
        <v>14</v>
      </c>
      <c r="H11" s="28">
        <f>H9-H10</f>
        <v>50.625</v>
      </c>
      <c r="I11" s="28">
        <f t="shared" ref="I11:M11" si="5">I9-I10</f>
        <v>18490.78125</v>
      </c>
      <c r="J11" s="28">
        <f t="shared" si="5"/>
        <v>7.6967516249999993E-2</v>
      </c>
      <c r="K11" s="28">
        <f t="shared" si="5"/>
        <v>28.112385310312497</v>
      </c>
      <c r="L11" s="28">
        <f t="shared" si="5"/>
        <v>0.40858992</v>
      </c>
      <c r="M11" s="28">
        <f t="shared" si="5"/>
        <v>149.23746828</v>
      </c>
      <c r="N11" s="32"/>
    </row>
    <row r="12" spans="1:14" s="31" customFormat="1" ht="15" thickBot="1">
      <c r="A12" s="39" t="s">
        <v>8</v>
      </c>
      <c r="B12" s="39"/>
      <c r="C12" s="39"/>
      <c r="D12" s="39"/>
      <c r="E12" s="39"/>
      <c r="F12" s="39"/>
    </row>
    <row r="13" spans="1:14" ht="15" thickBot="1"/>
    <row r="14" spans="1:14" s="37" customFormat="1">
      <c r="A14" s="40" t="s">
        <v>67</v>
      </c>
      <c r="B14" s="40"/>
      <c r="C14" s="40"/>
      <c r="D14" s="40"/>
      <c r="E14" s="40"/>
      <c r="F14" s="40"/>
      <c r="G14" s="36"/>
      <c r="H14" s="36"/>
      <c r="I14" s="36"/>
      <c r="J14" s="36"/>
      <c r="K14" s="36"/>
      <c r="L14" s="36"/>
      <c r="M14" s="36"/>
    </row>
    <row r="15" spans="1:14" s="35" customFormat="1" ht="110" customHeight="1">
      <c r="A15" s="33" t="s">
        <v>27</v>
      </c>
      <c r="B15" s="33" t="s">
        <v>0</v>
      </c>
      <c r="C15" s="33" t="s">
        <v>1</v>
      </c>
      <c r="D15" s="33" t="s">
        <v>26</v>
      </c>
      <c r="E15" s="33" t="s">
        <v>2</v>
      </c>
      <c r="F15" s="33" t="s">
        <v>36</v>
      </c>
      <c r="G15" s="34" t="s">
        <v>52</v>
      </c>
      <c r="H15" s="34" t="s">
        <v>6</v>
      </c>
      <c r="I15" s="34" t="s">
        <v>7</v>
      </c>
      <c r="J15" s="34" t="s">
        <v>3</v>
      </c>
      <c r="K15" s="34" t="s">
        <v>4</v>
      </c>
      <c r="L15" s="34" t="s">
        <v>15</v>
      </c>
      <c r="M15" s="34" t="s">
        <v>5</v>
      </c>
      <c r="N15" s="33"/>
    </row>
    <row r="16" spans="1:14" s="21" customFormat="1" ht="15">
      <c r="A16" s="20" t="s">
        <v>28</v>
      </c>
      <c r="B16" s="21" t="s">
        <v>16</v>
      </c>
      <c r="C16" s="21" t="s">
        <v>30</v>
      </c>
      <c r="D16" s="21">
        <v>4</v>
      </c>
      <c r="E16" s="21">
        <v>1</v>
      </c>
      <c r="F16" s="21">
        <v>24</v>
      </c>
      <c r="G16" s="22">
        <f t="shared" ref="G16:M17" si="6">G3+G9</f>
        <v>84.375</v>
      </c>
      <c r="H16" s="22">
        <f t="shared" si="6"/>
        <v>1316.25</v>
      </c>
      <c r="I16" s="22">
        <f t="shared" si="6"/>
        <v>480760.3125</v>
      </c>
      <c r="J16" s="22">
        <f t="shared" si="6"/>
        <v>2.0011554225000001</v>
      </c>
      <c r="K16" s="22">
        <f t="shared" si="6"/>
        <v>730.922018068125</v>
      </c>
      <c r="L16" s="22">
        <f t="shared" si="6"/>
        <v>10.623337919999999</v>
      </c>
      <c r="M16" s="22">
        <f t="shared" si="6"/>
        <v>3880.1741752799999</v>
      </c>
    </row>
    <row r="17" spans="1:14" s="21" customFormat="1" ht="15">
      <c r="A17" s="20" t="s">
        <v>29</v>
      </c>
      <c r="B17" s="21" t="s">
        <v>16</v>
      </c>
      <c r="C17" s="21" t="s">
        <v>17</v>
      </c>
      <c r="D17" s="21">
        <v>4</v>
      </c>
      <c r="E17" s="21">
        <v>0.5</v>
      </c>
      <c r="F17" s="21">
        <v>24</v>
      </c>
      <c r="G17" s="24">
        <f t="shared" si="6"/>
        <v>84.375</v>
      </c>
      <c r="H17" s="24">
        <f t="shared" si="6"/>
        <v>658.125</v>
      </c>
      <c r="I17" s="24">
        <f t="shared" si="6"/>
        <v>240380.15625</v>
      </c>
      <c r="J17" s="24">
        <f t="shared" si="6"/>
        <v>1.0005777112500001</v>
      </c>
      <c r="K17" s="24">
        <f t="shared" si="6"/>
        <v>365.4610090340625</v>
      </c>
      <c r="L17" s="24">
        <f t="shared" si="6"/>
        <v>5.3116689599999996</v>
      </c>
      <c r="M17" s="24">
        <f t="shared" si="6"/>
        <v>1940.0870876399999</v>
      </c>
    </row>
    <row r="18" spans="1:14" s="21" customFormat="1">
      <c r="A18" s="26" t="s">
        <v>34</v>
      </c>
      <c r="G18" s="27" t="s">
        <v>14</v>
      </c>
      <c r="H18" s="28">
        <f>H16-H17</f>
        <v>658.125</v>
      </c>
      <c r="I18" s="28">
        <f t="shared" ref="I18:M18" si="7">I16-I17</f>
        <v>240380.15625</v>
      </c>
      <c r="J18" s="28">
        <f t="shared" si="7"/>
        <v>1.0005777112500001</v>
      </c>
      <c r="K18" s="28">
        <f t="shared" si="7"/>
        <v>365.4610090340625</v>
      </c>
      <c r="L18" s="28">
        <f t="shared" si="7"/>
        <v>5.3116689599999996</v>
      </c>
      <c r="M18" s="28">
        <f t="shared" si="7"/>
        <v>1940.0870876399999</v>
      </c>
      <c r="N18" s="32"/>
    </row>
    <row r="19" spans="1:14" s="31" customFormat="1" ht="15" thickBot="1">
      <c r="A19" s="39" t="s">
        <v>8</v>
      </c>
      <c r="B19" s="39"/>
      <c r="C19" s="39"/>
      <c r="D19" s="39"/>
      <c r="E19" s="39"/>
      <c r="F19" s="39"/>
    </row>
    <row r="21" spans="1:14" ht="15" customHeight="1">
      <c r="A21" s="41" t="s">
        <v>37</v>
      </c>
      <c r="B21" s="41"/>
      <c r="C21" s="41"/>
      <c r="D21" s="41"/>
      <c r="E21" s="41"/>
      <c r="F21" s="41"/>
    </row>
    <row r="22" spans="1:14" ht="15" customHeight="1">
      <c r="A22" s="41" t="s">
        <v>39</v>
      </c>
      <c r="B22" s="41"/>
      <c r="C22" s="41"/>
      <c r="D22" s="41"/>
      <c r="E22" s="41"/>
      <c r="F22" s="41"/>
    </row>
    <row r="23" spans="1:14" ht="15" customHeight="1">
      <c r="A23" s="41" t="s">
        <v>44</v>
      </c>
      <c r="B23" s="41"/>
      <c r="C23" s="41"/>
      <c r="D23" s="41"/>
      <c r="E23" s="41"/>
      <c r="F23" s="41"/>
    </row>
    <row r="24" spans="1:14" ht="15" customHeight="1">
      <c r="A24" s="64" t="s">
        <v>68</v>
      </c>
      <c r="B24" s="41"/>
      <c r="C24" s="41"/>
      <c r="D24" s="41"/>
      <c r="E24" s="41"/>
      <c r="F24" s="41"/>
    </row>
  </sheetData>
  <mergeCells count="9">
    <mergeCell ref="A22:F22"/>
    <mergeCell ref="A23:F23"/>
    <mergeCell ref="A24:F24"/>
    <mergeCell ref="A6:F6"/>
    <mergeCell ref="A7:I7"/>
    <mergeCell ref="A12:F12"/>
    <mergeCell ref="A14:F14"/>
    <mergeCell ref="A19:F19"/>
    <mergeCell ref="A21:F2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zoomScale="150" zoomScaleNormal="150" zoomScalePageLayoutView="150" workbookViewId="0">
      <selection activeCell="D14" sqref="D14"/>
    </sheetView>
  </sheetViews>
  <sheetFormatPr baseColWidth="10" defaultColWidth="16.5" defaultRowHeight="14" x14ac:dyDescent="0"/>
  <cols>
    <col min="2" max="2" width="19.1640625" customWidth="1"/>
    <col min="3" max="3" width="17.83203125" customWidth="1"/>
    <col min="4" max="4" width="19" customWidth="1"/>
    <col min="5" max="5" width="17.33203125" customWidth="1"/>
    <col min="6" max="6" width="17.1640625" customWidth="1"/>
  </cols>
  <sheetData>
    <row r="2" spans="2:6" ht="21" thickBot="1">
      <c r="B2" s="45" t="s">
        <v>11</v>
      </c>
      <c r="C2" s="45"/>
      <c r="D2" s="45"/>
      <c r="E2" s="45"/>
      <c r="F2" s="45"/>
    </row>
    <row r="3" spans="2:6" ht="17" customHeight="1" thickTop="1" thickBot="1">
      <c r="B3" s="58"/>
      <c r="C3" s="43" t="s">
        <v>48</v>
      </c>
      <c r="D3" s="44"/>
      <c r="E3" s="43" t="s">
        <v>47</v>
      </c>
      <c r="F3" s="44"/>
    </row>
    <row r="4" spans="2:6" ht="7" customHeight="1">
      <c r="B4" s="59"/>
      <c r="C4" s="46" t="s">
        <v>46</v>
      </c>
      <c r="D4" s="49" t="s">
        <v>45</v>
      </c>
      <c r="E4" s="46" t="s">
        <v>49</v>
      </c>
      <c r="F4" s="49" t="s">
        <v>50</v>
      </c>
    </row>
    <row r="5" spans="2:6" ht="7" customHeight="1">
      <c r="B5" s="59"/>
      <c r="C5" s="47"/>
      <c r="D5" s="50"/>
      <c r="E5" s="47"/>
      <c r="F5" s="50"/>
    </row>
    <row r="6" spans="2:6" ht="7" customHeight="1">
      <c r="B6" s="59"/>
      <c r="C6" s="47"/>
      <c r="D6" s="50"/>
      <c r="E6" s="47"/>
      <c r="F6" s="50"/>
    </row>
    <row r="7" spans="2:6" ht="7" customHeight="1" thickBot="1">
      <c r="B7" s="60"/>
      <c r="C7" s="48"/>
      <c r="D7" s="51"/>
      <c r="E7" s="48"/>
      <c r="F7" s="51"/>
    </row>
    <row r="8" spans="2:6" ht="15" thickBot="1">
      <c r="B8" s="61" t="s">
        <v>10</v>
      </c>
      <c r="C8" s="4" t="s">
        <v>53</v>
      </c>
      <c r="D8" s="38">
        <v>2538420.2200000002</v>
      </c>
      <c r="E8" s="4" t="s">
        <v>58</v>
      </c>
      <c r="F8" s="2" t="s">
        <v>59</v>
      </c>
    </row>
    <row r="9" spans="2:6" ht="15" thickBot="1">
      <c r="B9" s="62"/>
      <c r="C9" s="52" t="s">
        <v>54</v>
      </c>
      <c r="D9" s="53"/>
      <c r="E9" s="52" t="s">
        <v>60</v>
      </c>
      <c r="F9" s="53"/>
    </row>
    <row r="10" spans="2:6" ht="15" thickBot="1">
      <c r="B10" s="61" t="s">
        <v>12</v>
      </c>
      <c r="C10" s="5">
        <v>10005.74</v>
      </c>
      <c r="D10" s="3">
        <v>3859.28</v>
      </c>
      <c r="E10" s="5">
        <v>730.92</v>
      </c>
      <c r="F10" s="3">
        <v>365.46</v>
      </c>
    </row>
    <row r="11" spans="2:6" ht="15" thickBot="1">
      <c r="B11" s="62"/>
      <c r="C11" s="54" t="s">
        <v>55</v>
      </c>
      <c r="D11" s="55"/>
      <c r="E11" s="54" t="s">
        <v>61</v>
      </c>
      <c r="F11" s="55"/>
    </row>
    <row r="12" spans="2:6" ht="45" customHeight="1" thickBot="1">
      <c r="B12" s="61" t="s">
        <v>13</v>
      </c>
      <c r="C12" s="11" t="s">
        <v>56</v>
      </c>
      <c r="D12" s="12" t="s">
        <v>57</v>
      </c>
      <c r="E12" s="11" t="s">
        <v>62</v>
      </c>
      <c r="F12" s="12" t="s">
        <v>63</v>
      </c>
    </row>
    <row r="13" spans="2:6" ht="15" thickBot="1">
      <c r="B13" s="63"/>
      <c r="C13" s="56" t="s">
        <v>51</v>
      </c>
      <c r="D13" s="57"/>
      <c r="E13" s="56" t="s">
        <v>64</v>
      </c>
      <c r="F13" s="57"/>
    </row>
    <row r="14" spans="2:6" ht="20" customHeight="1" thickBot="1">
      <c r="B14" s="6" t="s">
        <v>9</v>
      </c>
      <c r="C14" s="7" t="s">
        <v>14</v>
      </c>
      <c r="D14" s="8" t="s">
        <v>66</v>
      </c>
      <c r="E14" s="7" t="s">
        <v>14</v>
      </c>
      <c r="F14" s="8" t="s">
        <v>65</v>
      </c>
    </row>
    <row r="15" spans="2:6" ht="15" thickTop="1">
      <c r="B15" s="9"/>
      <c r="C15" s="9"/>
      <c r="D15" s="9"/>
    </row>
  </sheetData>
  <mergeCells count="17">
    <mergeCell ref="E11:F11"/>
    <mergeCell ref="E13:F13"/>
    <mergeCell ref="B3:B7"/>
    <mergeCell ref="C3:D3"/>
    <mergeCell ref="C4:C7"/>
    <mergeCell ref="D4:D7"/>
    <mergeCell ref="B8:B9"/>
    <mergeCell ref="B10:B11"/>
    <mergeCell ref="B12:B13"/>
    <mergeCell ref="C9:D9"/>
    <mergeCell ref="C11:D11"/>
    <mergeCell ref="C13:D13"/>
    <mergeCell ref="E3:F3"/>
    <mergeCell ref="B2:F2"/>
    <mergeCell ref="E4:E7"/>
    <mergeCell ref="F4:F7"/>
    <mergeCell ref="E9:F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C14" sqref="C14"/>
    </sheetView>
  </sheetViews>
  <sheetFormatPr baseColWidth="10" defaultRowHeight="14" x14ac:dyDescent="0"/>
  <cols>
    <col min="1" max="1" width="12.1640625" bestFit="1" customWidth="1"/>
  </cols>
  <sheetData>
    <row r="1" spans="1:2">
      <c r="A1" s="14">
        <v>1.9021677E-3</v>
      </c>
      <c r="B1" t="s">
        <v>20</v>
      </c>
    </row>
    <row r="2" spans="1:2">
      <c r="A2" s="14">
        <v>1.3431083999999999E-3</v>
      </c>
      <c r="B2" t="s">
        <v>21</v>
      </c>
    </row>
    <row r="3" spans="1:2">
      <c r="A3" s="15">
        <v>1.3157615000000001E-3</v>
      </c>
      <c r="B3" t="s">
        <v>22</v>
      </c>
    </row>
    <row r="4" spans="1:2">
      <c r="A4" s="14">
        <f>AVERAGE(A1:A3)</f>
        <v>1.5203458666666666E-3</v>
      </c>
      <c r="B4" t="s">
        <v>23</v>
      </c>
    </row>
    <row r="6" spans="1:2">
      <c r="A6">
        <v>1.7856000000000001</v>
      </c>
      <c r="B6" t="s">
        <v>19</v>
      </c>
    </row>
    <row r="7" spans="1:2">
      <c r="A7">
        <v>8.0709119999999995E-3</v>
      </c>
      <c r="B7" t="s">
        <v>18</v>
      </c>
    </row>
    <row r="9" spans="1:2">
      <c r="A9" s="16">
        <f>1901.8*1000</f>
        <v>1901800</v>
      </c>
      <c r="B9" s="16" t="s">
        <v>24</v>
      </c>
    </row>
    <row r="10" spans="1:2">
      <c r="A10" s="16">
        <f>2114.8*1000</f>
        <v>2114800</v>
      </c>
      <c r="B10" s="16" t="s">
        <v>25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Uelmen toilet calculations</vt:lpstr>
      <vt:lpstr>Uelmen urinal calculations</vt:lpstr>
      <vt:lpstr>Annual Water Consumption comp.</vt:lpstr>
      <vt:lpstr>Notes</vt:lpstr>
    </vt:vector>
  </TitlesOfParts>
  <Company>UW Madison Housing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Heacock, Scott</dc:creator>
  <cp:lastModifiedBy>Johnny</cp:lastModifiedBy>
  <dcterms:created xsi:type="dcterms:W3CDTF">2017-03-01T16:06:14Z</dcterms:created>
  <dcterms:modified xsi:type="dcterms:W3CDTF">2018-04-06T01:23:53Z</dcterms:modified>
</cp:coreProperties>
</file>